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3.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5.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drawings/drawing6.xml" ContentType="application/vnd.openxmlformats-officedocument.drawing+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drawings/drawing7.xml" ContentType="application/vnd.openxmlformats-officedocument.drawing+xml"/>
  <Override PartName="/xl/ctrlProps/ctrlProp167.xml" ContentType="application/vnd.ms-excel.controlproperties+xml"/>
  <Override PartName="/xl/ctrlProps/ctrlProp168.xml" ContentType="application/vnd.ms-excel.controlproperties+xml"/>
  <Override PartName="/xl/drawings/drawing8.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drawings/drawing9.xml" ContentType="application/vnd.openxmlformats-officedocument.drawing+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drawings/drawing10.xml" ContentType="application/vnd.openxmlformats-officedocument.drawing+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drawings/drawing11.xml" ContentType="application/vnd.openxmlformats-officedocument.drawing+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drawings/drawing12.xml" ContentType="application/vnd.openxmlformats-officedocument.drawing+xml"/>
  <Override PartName="/xl/ctrlProps/ctrlProp330.xml" ContentType="application/vnd.ms-excel.controlproperties+xml"/>
  <Override PartName="/xl/drawings/drawing13.xml" ContentType="application/vnd.openxmlformats-officedocument.drawing+xml"/>
  <Override PartName="/xl/ctrlProps/ctrlProp331.xml" ContentType="application/vnd.ms-excel.controlproperties+xml"/>
  <Override PartName="/xl/ctrlProps/ctrlProp332.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19.xml" ContentType="application/vnd.openxmlformats-officedocument.spreadsheetml.table+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Rowela Golla\Downloads\"/>
    </mc:Choice>
  </mc:AlternateContent>
  <xr:revisionPtr revIDLastSave="0" documentId="13_ncr:1_{7E9171A9-2BC4-4F3A-9C33-751DA2295DD4}" xr6:coauthVersionLast="47" xr6:coauthVersionMax="47" xr10:uidLastSave="{00000000-0000-0000-0000-000000000000}"/>
  <workbookProtection workbookAlgorithmName="SHA-512" workbookHashValue="IZCQ93Douvbj28rVhZq5TmrlbHvE/WPnyPZVF3qU5LiCIu5WO3bnfB8tYflyrfPqCvwKR7J3z7zZ8MKMvnTMmw==" workbookSaltValue="Bec+s2sDk1P9e5QXNCNo2w==" workbookSpinCount="100000" lockStructure="1"/>
  <bookViews>
    <workbookView xWindow="-120" yWindow="-120" windowWidth="20730" windowHeight="11160" tabRatio="917" firstSheet="21" activeTab="27" xr2:uid="{C8CB72BB-A504-4CBB-9A56-8D0628BCC245}"/>
  </bookViews>
  <sheets>
    <sheet name="meta" sheetId="22" state="veryHidden" r:id="rId1"/>
    <sheet name="tbl_schoolAttrib" sheetId="25" state="veryHidden" r:id="rId2"/>
    <sheet name="tbl_demographic" sheetId="26" state="veryHidden" r:id="rId3"/>
    <sheet name="tbl_cot" sheetId="27" state="veryHidden" r:id="rId4"/>
    <sheet name="tbl_cot_meta" sheetId="37" state="veryHidden" r:id="rId5"/>
    <sheet name="tbl_part1" sheetId="39" state="veryHidden" r:id="rId6"/>
    <sheet name="tbl_part2" sheetId="38" state="veryHidden" r:id="rId7"/>
    <sheet name="tbl_part4_functional_strengths" sheetId="43" state="veryHidden" r:id="rId8"/>
    <sheet name="tbl_part4_behavioral_strengths" sheetId="44" state="veryHidden" r:id="rId9"/>
    <sheet name="tbl_part4_functional_weakness" sheetId="45" state="veryHidden" r:id="rId10"/>
    <sheet name="tbl_part4_behavioral_weakness" sheetId="46" state="veryHidden" r:id="rId11"/>
    <sheet name="data1" sheetId="20" state="veryHidden" r:id="rId12"/>
    <sheet name="data2" sheetId="21" state="veryHidden" r:id="rId13"/>
    <sheet name="Setup" sheetId="15" state="veryHidden" r:id="rId14"/>
    <sheet name="Regular - Proficient" sheetId="7" state="veryHidden" r:id="rId15"/>
    <sheet name="Regular - Highly Proficient" sheetId="34" state="veryHidden" r:id="rId16"/>
    <sheet name="Broadcaster - Proficient" sheetId="35" state="veryHidden" r:id="rId17"/>
    <sheet name="Broadcaster - Highly Proficient" sheetId="36" state="veryHidden" r:id="rId18"/>
    <sheet name="Info" sheetId="16" state="veryHidden" r:id="rId19"/>
    <sheet name="Privacy Notice" sheetId="17" state="veryHidden" r:id="rId20"/>
    <sheet name="Demographic Profile" sheetId="18" state="veryHidden" r:id="rId21"/>
    <sheet name="Status" sheetId="42" r:id="rId22"/>
    <sheet name="Encoding Part 1" sheetId="19" r:id="rId23"/>
    <sheet name="Encoding Part 2" sheetId="40" r:id="rId24"/>
    <sheet name="PART 1" sheetId="30" r:id="rId25"/>
    <sheet name="PART 2" sheetId="31" r:id="rId26"/>
    <sheet name="PART 3" sheetId="32" r:id="rId27"/>
    <sheet name="PART 4" sheetId="33" r:id="rId28"/>
    <sheet name="Domains" sheetId="8" state="veryHidden" r:id="rId29"/>
    <sheet name="RegPInd" sheetId="6" state="veryHidden" r:id="rId30"/>
    <sheet name="RegPStd" sheetId="1" state="veryHidden" r:id="rId31"/>
    <sheet name="RegHPInd" sheetId="9" state="veryHidden" r:id="rId32"/>
    <sheet name="RegHPStd" sheetId="2" state="veryHidden" r:id="rId33"/>
    <sheet name="TBPInd" sheetId="11" state="veryHidden" r:id="rId34"/>
    <sheet name="TBPStd" sheetId="4" state="veryHidden" r:id="rId35"/>
    <sheet name="TBHPInd" sheetId="13" state="veryHidden" r:id="rId36"/>
    <sheet name="TBHPStd" sheetId="5" state="veryHidden" r:id="rId37"/>
  </sheets>
  <functionGroups builtInGroupCount="19"/>
  <definedNames>
    <definedName name="_xlnm._FilterDatabase" localSheetId="17" hidden="1">'Broadcaster - Highly Proficient'!$B$3:$E$49</definedName>
    <definedName name="_xlnm._FilterDatabase" localSheetId="16" hidden="1">'Broadcaster - Proficient'!$B$3:$E$49</definedName>
    <definedName name="_xlnm._FilterDatabase" localSheetId="28" hidden="1">Domains!$A$1:$B$8</definedName>
    <definedName name="_xlnm._FilterDatabase" localSheetId="31" hidden="1">RegHPInd!$A$1:$E$39</definedName>
    <definedName name="_xlnm._FilterDatabase" localSheetId="32" hidden="1">RegHPStd!$A$1:$J$71</definedName>
    <definedName name="_xlnm._FilterDatabase" localSheetId="29" hidden="1">RegPInd!$A$1:$E$39</definedName>
    <definedName name="_xlnm._FilterDatabase" localSheetId="30" hidden="1">RegPStd!$A$1:$J$71</definedName>
    <definedName name="_xlnm._FilterDatabase" localSheetId="15" hidden="1">'Regular - Highly Proficient'!$B$3:$E$49</definedName>
    <definedName name="_xlnm._FilterDatabase" localSheetId="14" hidden="1">'Regular - Proficient'!$B$3:$E$49</definedName>
    <definedName name="_xlnm._FilterDatabase" localSheetId="35" hidden="1">TBHPInd!$A$1:$E$1</definedName>
    <definedName name="_xlnm._FilterDatabase" localSheetId="36" hidden="1">TBHPStd!$A$1:$J$1</definedName>
    <definedName name="_xlnm._FilterDatabase" localSheetId="33" hidden="1">TBPInd!$A$1:$E$1</definedName>
    <definedName name="_xlnm._FilterDatabase" localSheetId="34" hidden="1">TBPStd!$A$1:$J$1</definedName>
    <definedName name="adjectival_rating">'Encoding Part 1'!$AF$64</definedName>
    <definedName name="admin_coi">data2!$AA$7</definedName>
    <definedName name="admin_coi_ncoi">data2!$AA$7:$AA$9</definedName>
    <definedName name="admin_ncoi">data2!$AA$8</definedName>
    <definedName name="age_list">data2!$O$2:$O$9</definedName>
    <definedName name="approvingpositions_list">data2!$V$2:$V$30</definedName>
    <definedName name="BARMM_divlist">data1!$B$2:$B$12</definedName>
    <definedName name="BARMM_vlookup">data1!$B$2:$C$12</definedName>
    <definedName name="CAR_divlist">data1!$B$13:$B$20</definedName>
    <definedName name="CAR_vlookup">data1!$B$13:$C$20</definedName>
    <definedName name="CARAGA_divlist">data1!$B$218:$B$229</definedName>
    <definedName name="career_stage">meta!$B$6</definedName>
    <definedName name="change_status">meta!$B$10</definedName>
    <definedName name="Class1">data1!$J$2</definedName>
    <definedName name="Class10">data1!$J$27:$J$28</definedName>
    <definedName name="Class11">data1!$J$29</definedName>
    <definedName name="Class12">data1!$J$30:$J$31</definedName>
    <definedName name="Class13">data1!$J$32:$J$33</definedName>
    <definedName name="Class14">data1!$J$34:$J$36</definedName>
    <definedName name="Class15">data1!$J$37</definedName>
    <definedName name="Class16">data1!$J$38:$J$39</definedName>
    <definedName name="Class17">data1!$J$40</definedName>
    <definedName name="Class18">data1!$J$41:$J$42</definedName>
    <definedName name="Class2">data1!$J$3:$J$4</definedName>
    <definedName name="Class3">data1!$J$5:$J$7</definedName>
    <definedName name="Class4">data1!$J$8:$J$11</definedName>
    <definedName name="Class5">data1!$J$12:$J$14</definedName>
    <definedName name="Class6">data1!$J$15:$J$17</definedName>
    <definedName name="Class7">data1!$J$18:$J$21</definedName>
    <definedName name="Class8">data1!$J$22:$J$23</definedName>
    <definedName name="Class9">data1!$J$24:$J$26</definedName>
    <definedName name="classification_list">data2!$J$2:$J$4</definedName>
    <definedName name="coi_blank">data2!$AA$4</definedName>
    <definedName name="coi_ncoi">data2!$AA$2:$AA$3</definedName>
    <definedName name="coi_ncoi_select">'Encoding Part 1'!$O$22:$P$62</definedName>
    <definedName name="competency_level">data2!$W$2:$W$3</definedName>
    <definedName name="competency_level_vlookup">data2!$W$2:$X$3</definedName>
    <definedName name="consolidation_status">meta!$B$8</definedName>
    <definedName name="COT_count">'Encoding Part 1'!$Z$17</definedName>
    <definedName name="COT_helper">'Encoding Part 1'!$L$22:$L$62</definedName>
    <definedName name="cot_inc_rating_sy_end">data2!$AB$2</definedName>
    <definedName name="COT1_status">meta!$B$16</definedName>
    <definedName name="COT2_status">meta!$B$17</definedName>
    <definedName name="COT3_status">meta!$B$18</definedName>
    <definedName name="COT4_status">meta!$B$19</definedName>
    <definedName name="cotsubjects_list">data2!$U$3:$U$22</definedName>
    <definedName name="curricular_classification_list">data1!$K$2:$K$19</definedName>
    <definedName name="curricular_classification_vlookup">data1!$K$2:$L$19</definedName>
    <definedName name="date_of_review">demographics[date_of_review]</definedName>
    <definedName name="degree_list">data2!$T$2:$T$4</definedName>
    <definedName name="demographic_TIN">'Demographic Profile'!$R$12</definedName>
    <definedName name="demographics_age">'Demographic Profile'!$N$13</definedName>
    <definedName name="demographics_classification">'Demographic Profile'!$F$14</definedName>
    <definedName name="demographics_degree">'Demographic Profile'!$R$8</definedName>
    <definedName name="demographics_degreespecified">'Demographic Profile'!$R$9</definedName>
    <definedName name="demographics_district">'Demographic Profile'!$F$9</definedName>
    <definedName name="demographics_division">'Demographic Profile'!$F$8</definedName>
    <definedName name="demographics_dropdown_select_check">'Demographic Profile'!$U$3:$V$14</definedName>
    <definedName name="demographics_email">'Demographic Profile'!$R$11</definedName>
    <definedName name="demographics_email_check">'Demographic Profile'!$R$128</definedName>
    <definedName name="demographics_employee_info">'Demographic Profile'!$N$7:$N$14</definedName>
    <definedName name="demographics_empstatus">'Demographic Profile'!$N$12</definedName>
    <definedName name="demographics_experience">'Demographic Profile'!$R$7:$R$8</definedName>
    <definedName name="demographics_firstname">'Demographic Profile'!$N$8</definedName>
    <definedName name="demographics_grade">'Demographic Profile'!$E$121</definedName>
    <definedName name="demographics_id">'Demographic Profile'!$N$10</definedName>
    <definedName name="demographics_id_check">'Demographic Profile'!$N$127</definedName>
    <definedName name="demographics_lastname">'Demographic Profile'!$N$7</definedName>
    <definedName name="demographics_level">'Demographic Profile'!$R$10</definedName>
    <definedName name="demographics_locked">meta!$B$12</definedName>
    <definedName name="demographics_middlename">'Demographic Profile'!$N$9</definedName>
    <definedName name="demographics_name">'Demographic Profile'!$N$7</definedName>
    <definedName name="demographics_others_check">'Demographic Profile'!$Q$81:$R$82</definedName>
    <definedName name="demographics_position">'Demographic Profile'!$N$11</definedName>
    <definedName name="demographics_region">'Demographic Profile'!$F$7</definedName>
    <definedName name="demographics_save_attempt">'Demographic Profile'!$C$75</definedName>
    <definedName name="demographics_school_id">'Demographic Profile'!$F$10</definedName>
    <definedName name="demographics_school_info">'Demographic Profile'!$F$7:$F$14</definedName>
    <definedName name="demographics_school_name">'Demographic Profile'!$F$11</definedName>
    <definedName name="demographics_school_size">'Demographic Profile'!$F$13</definedName>
    <definedName name="demographics_school_type">'Demographic Profile'!$F$12</definedName>
    <definedName name="demographics_sex">'Demographic Profile'!$N$14</definedName>
    <definedName name="demographics_specialization">'Demographic Profile'!$E$98</definedName>
    <definedName name="demographics_strands">'Demographic Profile'!$O$115</definedName>
    <definedName name="demographics_subjects">'Demographic Profile'!$O$98</definedName>
    <definedName name="demographics_tickbox_check">'Demographic Profile'!$Q$76:$R$79</definedName>
    <definedName name="demographics_valid">'Demographic Profile'!$C$73</definedName>
    <definedName name="demographics_years">'Demographic Profile'!$R$7</definedName>
    <definedName name="division">meta!$B$25</definedName>
    <definedName name="doc_type">meta!$B$2</definedName>
    <definedName name="elemgrade_list">data2!$M$2:$M$10</definedName>
    <definedName name="emp_status_list">data2!$Q$2:$Q$5</definedName>
    <definedName name="encoding_active_rows">'Encoding Part 1'!$G$22:$G$62</definedName>
    <definedName name="encoding_approver_email">'Encoding Part 1'!$AF$69</definedName>
    <definedName name="encoding_approver_email_range">'Encoding Part 1'!$AF$69:$AG$69</definedName>
    <definedName name="encoding_approver_firstname">'Encoding Part 1'!$AB$68</definedName>
    <definedName name="encoding_approver_firstname_range">'Encoding Part 1'!$AB$68:$AD$68</definedName>
    <definedName name="encoding_approver_id">'Encoding Part 1'!#REF!</definedName>
    <definedName name="encoding_approver_id_range">'Encoding Part 1'!#REF!</definedName>
    <definedName name="encoding_approver_info">'Encoding Part 1'!$Y$68:$Y$69</definedName>
    <definedName name="encoding_approver_lastname">'Encoding Part 1'!$X$68</definedName>
    <definedName name="encoding_approver_lastname_range">'Encoding Part 1'!$X$68:$Z$68</definedName>
    <definedName name="encoding_approver_middlename">'Encoding Part 1'!$AF$68</definedName>
    <definedName name="encoding_approver_middlename_range">'Encoding Part 1'!$AF$68:$AG$68</definedName>
    <definedName name="encoding_approver_position">'Encoding Part 1'!$X$69</definedName>
    <definedName name="encoding_approver_position_range">'Encoding Part 1'!$X$69:$Z$69</definedName>
    <definedName name="encoding_areAllValid">'Encoding Part 1'!$BC$11</definedName>
    <definedName name="encoding_co_select">'Encoding Part 1'!$P$22:$P$62</definedName>
    <definedName name="encoding_co_type">'Encoding Part 1'!$C$22:$C$62</definedName>
    <definedName name="encoding_cot_ave">'Encoding Part 1'!$AA$22:$AA$62</definedName>
    <definedName name="encoding_cot_check">'Encoding Part 1'!$R$18:$Y$18</definedName>
    <definedName name="encoding_COT_subjects">'Encoding Part 1'!$S$20:$Z$20</definedName>
    <definedName name="encoding_COT1_date">'Encoding Part 1'!$S$63:$T$63</definedName>
    <definedName name="encoding_COT1_enable">'Encoding Part 1'!$S$14</definedName>
    <definedName name="encoding_COT1_indflags">'Encoding Part 1'!$BG$22:$BG$62</definedName>
    <definedName name="encoding_COT1_ratings">'Encoding Part 1'!$S$22:$S$62</definedName>
    <definedName name="encoding_cot1_scale">'Encoding Part 1'!$T$22:$T$62</definedName>
    <definedName name="encoding_COT1_subject">'Encoding Part 1'!$S$20:$T$20</definedName>
    <definedName name="encoding_COT2_date">'Encoding Part 1'!$U$63:$V$63</definedName>
    <definedName name="encoding_COT2_enable">'Encoding Part 1'!$U$14</definedName>
    <definedName name="encoding_COT2_indflags">'Encoding Part 1'!$BI$22:$BI$62</definedName>
    <definedName name="encoding_COT2_ratings">'Encoding Part 1'!$U$22:$U$62</definedName>
    <definedName name="encoding_cot2_scale">'Encoding Part 1'!$V$22:$V$62</definedName>
    <definedName name="encoding_COT2_subject">'Encoding Part 1'!$U$20:$V$20</definedName>
    <definedName name="encoding_COT3_date">'Encoding Part 1'!$W$63:$X$63</definedName>
    <definedName name="encoding_COT3_enable">'Encoding Part 1'!$W$14</definedName>
    <definedName name="encoding_COT3_indflags">'Encoding Part 1'!$BK$22:$BK$62</definedName>
    <definedName name="encoding_COT3_ratings">'Encoding Part 1'!$W$22:$W$62</definedName>
    <definedName name="encoding_cot3_scale">'Encoding Part 1'!$X$22:$X$62</definedName>
    <definedName name="encoding_COT3_subject">'Encoding Part 1'!$W$20:$X$20</definedName>
    <definedName name="encoding_COT4_date">'Encoding Part 1'!$Y$63:$Z$63</definedName>
    <definedName name="encoding_COT4_enable">'Encoding Part 1'!$Y$14</definedName>
    <definedName name="encoding_COT4_indflags">'Encoding Part 1'!$BM$22:$BM$62</definedName>
    <definedName name="encoding_COT4_ratings">'Encoding Part 1'!$Y$22:$Y$62</definedName>
    <definedName name="encoding_cot4_scale">'Encoding Part 1'!$Z$22:$Z$62</definedName>
    <definedName name="encoding_COT4_subject">'Encoding Part 1'!$Y$20:$Z$20</definedName>
    <definedName name="encoding_dropdown_check">'Encoding Part 1'!$BB$8:$BC$9</definedName>
    <definedName name="encoding_e_check">'Encoding Part 1'!$J$22:$J$62</definedName>
    <definedName name="encoding_e_input">'Encoding Part 1'!$AC$22:$AC$62</definedName>
    <definedName name="encoding_finalize_attempt">'Encoding Part 1'!$BC$13</definedName>
    <definedName name="encoding_q_check">'Encoding Part 1'!$I$22:$I$62</definedName>
    <definedName name="encoding_q_input">'Encoding Part 1'!$AB$22:$AB$62</definedName>
    <definedName name="encoding_rater_email">'Encoding Part 1'!$AB$8</definedName>
    <definedName name="encoding_rater_email_range">'Encoding Part 1'!$AB$8:$AG$8</definedName>
    <definedName name="encoding_rater_firstname">'Encoding Part 1'!$AB$7</definedName>
    <definedName name="encoding_rater_firstname_range">'Encoding Part 1'!$AB$7:$AD$7</definedName>
    <definedName name="encoding_rater_id">'Encoding Part 1'!#REF!</definedName>
    <definedName name="encoding_rater_id_range">'Encoding Part 1'!#REF!</definedName>
    <definedName name="encoding_rater_info">'Encoding Part 1'!$AA$7:$AA$9</definedName>
    <definedName name="encoding_rater_lastname">'Encoding Part 1'!$X$7</definedName>
    <definedName name="encoding_rater_lastname_range">'Encoding Part 1'!$X$7:$Z$7</definedName>
    <definedName name="encoding_rater_middlename">'Encoding Part 1'!$AF$7</definedName>
    <definedName name="encoding_rater_middlename_range">'Encoding Part 1'!$AF$7:$AG$7</definedName>
    <definedName name="encoding_rater_position">'Encoding Part 1'!$X$8</definedName>
    <definedName name="encoding_rater_position_range">'Encoding Part 1'!$X$8:$Z$8</definedName>
    <definedName name="encoding_review_date">'Encoding Part 1'!$X$9</definedName>
    <definedName name="encoding_review_date_range">'Encoding Part 1'!$X$9:$Y$9</definedName>
    <definedName name="encoding_t_check">'Encoding Part 1'!$K$22:$K$62</definedName>
    <definedName name="encoding_t_input">'Encoding Part 1'!$AD$22:$AD$62</definedName>
    <definedName name="encoding_validation">'Encoding Part 1'!$AI$7:$AZ$69</definedName>
    <definedName name="encoding_weights">'Encoding Part 1'!$Q$22:$Q$62</definedName>
    <definedName name="final_rating">'Encoding Part 1'!$AF$63</definedName>
    <definedName name="HP_COT">data2!$A$2:$A$6</definedName>
    <definedName name="HP_COT_vlookup">data2!$A$2:$B$6</definedName>
    <definedName name="HP_positions">data2!$N$13:$N$21</definedName>
    <definedName name="indCount_RHP">'Regular - Highly Proficient'!$F$51</definedName>
    <definedName name="indCount_RP">'Regular - Proficient'!$F$51</definedName>
    <definedName name="indCount_TBHP">'Broadcaster - Highly Proficient'!$F$51</definedName>
    <definedName name="indCount_TBP">'Broadcaster - Proficient'!$F$51</definedName>
    <definedName name="indSelect_RHP">'Regular - Highly Proficient'!$B$4:$N$49</definedName>
    <definedName name="indSelect_RP">'Regular - Proficient'!$B$4:$N$49</definedName>
    <definedName name="indSelect_TBHP">'Broadcaster - Highly Proficient'!$B$4:$N$49</definedName>
    <definedName name="indSelect_TBP">'Broadcaster - Proficient'!$B$4:$N$49</definedName>
    <definedName name="indSelectValid_RHP">'Regular - Highly Proficient'!$I$51</definedName>
    <definedName name="indSelectValid_RP">'Regular - Proficient'!$I$51</definedName>
    <definedName name="indSelectValid_TBHP">'Broadcaster - Highly Proficient'!$I$51</definedName>
    <definedName name="indSelectValid_TBP">'Broadcaster - Proficient'!$I$51</definedName>
    <definedName name="indWeight_RHP">'Regular - Highly Proficient'!$G$51</definedName>
    <definedName name="indWeight_RP">'Regular - Proficient'!$G$51</definedName>
    <definedName name="indWeight_TBHP">'Broadcaster - Highly Proficient'!$G$51</definedName>
    <definedName name="indWeight_TBP">'Broadcaster - Proficient'!$G$51</definedName>
    <definedName name="info_active_rows">Info!$B$13:$B$52</definedName>
    <definedName name="info_adjustable_rows">Info!$F$13:$I$52</definedName>
    <definedName name="info_proceed_attempt">Info!$O$8</definedName>
    <definedName name="info_valid">Info!$O$9</definedName>
    <definedName name="info_version">Info!$I$11</definedName>
    <definedName name="jhsgrade_list">data2!$M$9:$M$14</definedName>
    <definedName name="kinder_list">data2!$K$2</definedName>
    <definedName name="level_taught">meta!$B$26</definedName>
    <definedName name="level_taught_list">data2!$K$2:$K$5</definedName>
    <definedName name="level_vlookup">data2!$K$2:$L$5</definedName>
    <definedName name="meta_office_version">meta!$B$29</definedName>
    <definedName name="NCR_divlist">data1!$B$21:$B$36</definedName>
    <definedName name="NCR_vlookup">data1!$B$21:$C$36</definedName>
    <definedName name="NoCOlist">data2!$U$36:$U$36</definedName>
    <definedName name="P_COT">data2!$C$2:$C$6</definedName>
    <definedName name="P_COT_vlookup">data2!$C$2:$D$6</definedName>
    <definedName name="P_positions">data2!$N$2:$N$12</definedName>
    <definedName name="PART1_adjustable_rows">'PART 1'!$V$12:$AA$131</definedName>
    <definedName name="Part1_data">'Encoding Part 1'!$AB$22:$AG$62</definedName>
    <definedName name="Part1_date_finalized">demographics[Part1_date_finalized]</definedName>
    <definedName name="PART1_locked">meta!$B$13</definedName>
    <definedName name="PART1_qet_check">'PART 1'!$K$12:$K$131</definedName>
    <definedName name="Part2_data">'Encoding Part 2'!$C$59:$E$88</definedName>
    <definedName name="Part2_date_finalized">demographics[Part2_date_finalized]</definedName>
    <definedName name="part2_innov_selection">'Encoding Part 2'!$C$84:$C$88</definedName>
    <definedName name="PART2_locked">meta!$B$14</definedName>
    <definedName name="part2_pe_selection">'Encoding Part 2'!$C$64:$C$68</definedName>
    <definedName name="part2_rf_selection">'Encoding Part 2'!$C$69:$C$73</definedName>
    <definedName name="part2_selection">'Encoding Part 2'!$C$59:$C$88</definedName>
    <definedName name="part2_sm_selection">'Encoding Part 2'!$C$59:$C$63</definedName>
    <definedName name="part2_so_selection">'Encoding Part 2'!$C$79:$C$83</definedName>
    <definedName name="part2_tw_selection">'Encoding Part 2'!$C$74:$C$78</definedName>
    <definedName name="PART3_active_rows">'PART 3'!$E$12:$E$51</definedName>
    <definedName name="part4_areAllValid">'PART 4'!$S$4</definedName>
    <definedName name="part4_behavioral">'PART 4'!$C$18:$F$23</definedName>
    <definedName name="part4_behavioral_adjustable_rows">'PART 4'!$A$18:$B$23</definedName>
    <definedName name="part4_behavioral_strengths">'PART 4'!$H$18:$H$23</definedName>
    <definedName name="part4_behavioral_weakness">'PART 4'!$M$18:$M$23</definedName>
    <definedName name="Part4_date_finalized">demographics[Part4_date_finalized]</definedName>
    <definedName name="part4_feedback">'PART 4'!$A$25</definedName>
    <definedName name="part4_finalize_attempt">'PART 4'!$S$3</definedName>
    <definedName name="part4_functional">'PART 4'!$C$7:$F$16</definedName>
    <definedName name="part4_functional_adjustable_rows">'PART 4'!$A$7:$B$16</definedName>
    <definedName name="part4_functional_strengths">'PART 4'!$H$7:$H$16</definedName>
    <definedName name="part4_functional_weakness">'PART 4'!$M$7:$M$16</definedName>
    <definedName name="PART4_locked">meta!$B$15</definedName>
    <definedName name="positions_list">data2!$N$2:$N$21</definedName>
    <definedName name="_xlnm.Print_Area" localSheetId="20">'Demographic Profile'!$A$1:$Q$5</definedName>
    <definedName name="_xlnm.Print_Area" localSheetId="22">'Encoding Part 1'!$M$1:$AG$1</definedName>
    <definedName name="_xlnm.Print_Area" localSheetId="23">'Encoding Part 2'!$A$1:$G$1</definedName>
    <definedName name="_xlnm.Print_Area" localSheetId="24">'PART 1'!$P$1:$AF$145</definedName>
    <definedName name="_xlnm.Print_Area" localSheetId="25">'PART 2'!$A$1:$D$22</definedName>
    <definedName name="_xlnm.Print_Area" localSheetId="26">'PART 3'!$A$1:$W$58</definedName>
    <definedName name="_xlnm.Print_Area" localSheetId="27">'PART 4'!$A$1:$F$28</definedName>
    <definedName name="_xlnm.Print_Area" localSheetId="21">Status!$A$1:$P$5</definedName>
    <definedName name="_xlnm.Print_Titles" localSheetId="24">'PART 1'!$8:$11</definedName>
    <definedName name="_xlnm.Print_Titles" localSheetId="26">'PART 3'!$9:$11</definedName>
    <definedName name="_xlnm.Print_Titles" localSheetId="27">'PART 4'!$3:$5</definedName>
    <definedName name="profile_emp_info1" localSheetId="21">Status!$N$7:$N$12</definedName>
    <definedName name="profile_emp_info1">'Demographic Profile'!$N$7:$N$14</definedName>
    <definedName name="profile_emp_info2">'Demographic Profile'!$R$7:$R$12</definedName>
    <definedName name="profile_grades">'Demographic Profile'!$C$102:$C$119</definedName>
    <definedName name="profile_lockable">'Demographic Profile'!$N$7:$O$10,'Demographic Profile'!$F$14:$I$14,'Demographic Profile'!$R$10</definedName>
    <definedName name="profile_name_locked">'Demographic Profile'!$E$73</definedName>
    <definedName name="profile_school_info" localSheetId="21">Status!$F$7:$F$14</definedName>
    <definedName name="profile_school_info">'Demographic Profile'!$F$7:$F$14</definedName>
    <definedName name="profile_specialization">'Demographic Profile'!$C$77:$C$93</definedName>
    <definedName name="profile_specialization_others">'Demographic Profile'!$O$47</definedName>
    <definedName name="profile_strands">'Demographic Profile'!$M$102:$M$113</definedName>
    <definedName name="profile_subjects">'Demographic Profile'!$M$77:$M$96</definedName>
    <definedName name="profile_subjects_others">'Demographic Profile'!$O$61</definedName>
    <definedName name="ratee_lock_password">meta!$B$21</definedName>
    <definedName name="rater_lock_password">meta!$B$20</definedName>
    <definedName name="raterpositions_list">data2!$V$5:$V$30</definedName>
    <definedName name="rating_desc_vlookup">data2!$E$2:$G$6</definedName>
    <definedName name="rating_period">meta!$B$4</definedName>
    <definedName name="REG1_divlist">data1!$B$37:$B$50</definedName>
    <definedName name="REG1_vlookup">data1!$B$37:$C$50</definedName>
    <definedName name="REG10_divlist">data1!$B$185:$B$198</definedName>
    <definedName name="REG10_vlookup">data1!$B$185:$C$198</definedName>
    <definedName name="REG11_divlist">data1!$B$199:$B$209</definedName>
    <definedName name="REG11_vlookup">data1!$B$199:$C$209</definedName>
    <definedName name="REG12_divlist">data1!$B$210:$B$217</definedName>
    <definedName name="REG12_vlookup">data1!$B$210:$C$217</definedName>
    <definedName name="REG13_divlist">data1!$B$218:$B$229</definedName>
    <definedName name="REG13_vlookup">data1!$B$218:$C$229</definedName>
    <definedName name="REG2_divlist">data1!$B$51:$B$59</definedName>
    <definedName name="REG2_vlookup">data1!$B$51:$C$59</definedName>
    <definedName name="REG3_divlist">data1!$B$60:$B$79</definedName>
    <definedName name="REG3_vlookup">data1!$B$60:$C$79</definedName>
    <definedName name="REG4A_divlist">data1!$B$80:$B$102</definedName>
    <definedName name="REG4A_vlookup">data1!$B$80:$C$102</definedName>
    <definedName name="REG4B_divlist">data1!$B$103:$B$109</definedName>
    <definedName name="REG4B_vlookup">data1!$B$103:$C$109</definedName>
    <definedName name="REG5_divlist">data1!$B$110:$B$122</definedName>
    <definedName name="REG5_vlookup">data1!$B$110:$C$122</definedName>
    <definedName name="REG6_divlist">data1!$B$123:$B$143</definedName>
    <definedName name="REG6_vlookup">data1!$B$123:$C$143</definedName>
    <definedName name="REG7_divlist">data1!$B$144:$B$163</definedName>
    <definedName name="REG7_vlookup">data1!$B$144:$C$163</definedName>
    <definedName name="REG8_divlist">data1!$B$164:$B$176</definedName>
    <definedName name="REG8_vlookup">data1!$B$164:$C$176</definedName>
    <definedName name="REG9_divlist">data1!$B$177:$B$184</definedName>
    <definedName name="REG9_vlookup">data1!$B$177:$C$184</definedName>
    <definedName name="region">meta!$B$24</definedName>
    <definedName name="regions_list">data1!$E$2:$E$18</definedName>
    <definedName name="regions_vlookup">data1!$E$2:$H$18</definedName>
    <definedName name="required_cot">Setup!$D$19</definedName>
    <definedName name="RHP_Select_Data">'Regular - Highly Proficient'!$H$4:$H$48</definedName>
    <definedName name="RHP_Weight_Data">'Regular - Highly Proficient'!$G$4:$G$49</definedName>
    <definedName name="RI_divlist">data1!$B$37:$B$50</definedName>
    <definedName name="RII_divlist">data1!$B$51:$B$59</definedName>
    <definedName name="RIII_divlist">data1!$B$60:$B$79</definedName>
    <definedName name="RIVA_divlist">data1!$B$80:$B$101</definedName>
    <definedName name="RIVB_divlist">data1!$B$103:$B$109</definedName>
    <definedName name="RIX_divlist">data1!$B$177:$B$184</definedName>
    <definedName name="RP_Select_Data">'Regular - Proficient'!$H$4:$H$48</definedName>
    <definedName name="RP_Weight_Data">'Regular - Proficient'!$G$4:$G$49</definedName>
    <definedName name="RV_divlist">data1!$B$110:$B$122</definedName>
    <definedName name="RVI_divlist">data1!$B$123:$B$143</definedName>
    <definedName name="RVII_divlist">data1!$B$144:$B$162</definedName>
    <definedName name="RVIII_divlist">data1!$B$164:$B$176</definedName>
    <definedName name="RX_divlist">data1!$B$185:$B$198</definedName>
    <definedName name="RXI_divlist">data1!$B$199:$B$209</definedName>
    <definedName name="RXII_divlist">data1!$B$210:$B$217</definedName>
    <definedName name="save_status">meta!$B$9</definedName>
    <definedName name="school_id">meta!$B$27</definedName>
    <definedName name="school_name">meta!$B$28</definedName>
    <definedName name="school_size_list">data2!$I$2:$I$5</definedName>
    <definedName name="school_type_list">data2!$H$2:$H$3</definedName>
    <definedName name="selected_career_stage">Info!$I$9</definedName>
    <definedName name="selected_teacher_type">Setup!$D$14</definedName>
    <definedName name="setup_attempted">Setup!$N$6</definedName>
    <definedName name="setup_status">meta!$B$11</definedName>
    <definedName name="setup_valid">Setup!$M$6</definedName>
    <definedName name="sex_list">data2!$P$2:$P$3</definedName>
    <definedName name="shsgrade_list">data2!$M$15:$M$17</definedName>
    <definedName name="specialization_list">data2!$S$2:$S$17</definedName>
    <definedName name="status_version">Status!$F$15</definedName>
    <definedName name="strands_list">data2!$U$23:$U$36</definedName>
    <definedName name="subjects_list">data2!$U$2:$U$21</definedName>
    <definedName name="sy_end">Setup!$F$7</definedName>
    <definedName name="sy_start">Setup!$D$7</definedName>
    <definedName name="TBHP_Select_Data">'Broadcaster - Highly Proficient'!$H$4:$H$48</definedName>
    <definedName name="TBHP_Weight_Data">'Broadcaster - Highly Proficient'!$G$4:$G$49</definedName>
    <definedName name="TBP_Select_Data">'Broadcaster - Proficient'!$H$4:$H$48</definedName>
    <definedName name="TBP_Weight_Data">'Broadcaster - Proficient'!$G$4:$G$49</definedName>
    <definedName name="teacher_name">meta!$B$23</definedName>
    <definedName name="teacher_type">meta!$B$5</definedName>
    <definedName name="teacher_type_code_lookup">data2!$Y$2:$Z$3</definedName>
    <definedName name="teacher_type_list">data2!$Y$2:$Y$3</definedName>
    <definedName name="ticks_elembox">'Demographic Profile'!$A$17:$A$24</definedName>
    <definedName name="ticks_grades">'Demographic Profile'!$A$17:$A$36</definedName>
    <definedName name="ticks_jhsbox">'Demographic Profile'!$A$25:$A$31</definedName>
    <definedName name="ticks_shsbox">'Demographic Profile'!$A$32:$A$36</definedName>
    <definedName name="ticks_strandsbox">'Demographic Profile'!$A$63:$A$71</definedName>
    <definedName name="ticks_subjectsbox">'Demographic Profile'!$A$49:$A$62</definedName>
    <definedName name="uniquepersonnelid">meta!$B$22</definedName>
    <definedName name="version">meta!$B$3</definedName>
    <definedName name="years_in_teaching">data2!$R$2:$R$4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17" i="19" l="1"/>
  <c r="AC17" i="19"/>
  <c r="AS2" i="26" l="1"/>
  <c r="K2" i="26"/>
  <c r="AB17" i="19"/>
  <c r="Y17" i="19"/>
  <c r="W17" i="19"/>
  <c r="U17" i="19"/>
  <c r="S17" i="19"/>
  <c r="R129" i="18"/>
  <c r="AU8" i="19"/>
  <c r="AZ8" i="19" s="1"/>
  <c r="AC36" i="30"/>
  <c r="AC87" i="30"/>
  <c r="D39" i="6"/>
  <c r="F39" i="9"/>
  <c r="J39" i="9" s="1"/>
  <c r="H39" i="9"/>
  <c r="D38" i="6"/>
  <c r="C5" i="7"/>
  <c r="F6" i="6"/>
  <c r="F4" i="6"/>
  <c r="B49" i="7"/>
  <c r="F39" i="6" s="1"/>
  <c r="B47" i="7"/>
  <c r="E53" i="2"/>
  <c r="E38" i="2"/>
  <c r="E29" i="2"/>
  <c r="E19" i="2"/>
  <c r="E17" i="2"/>
  <c r="E15" i="2"/>
  <c r="E13" i="2"/>
  <c r="E14" i="2"/>
  <c r="E64" i="1"/>
  <c r="E52" i="1"/>
  <c r="E37" i="1"/>
  <c r="E28" i="1"/>
  <c r="E16" i="1"/>
  <c r="E14" i="1"/>
  <c r="E11" i="1"/>
  <c r="AY8" i="19" l="1"/>
  <c r="AX8" i="19"/>
  <c r="J39" i="6"/>
  <c r="L39" i="6"/>
  <c r="M39" i="6"/>
  <c r="K39" i="6"/>
  <c r="I39" i="6"/>
  <c r="H39" i="6"/>
  <c r="M39" i="9"/>
  <c r="L39" i="9"/>
  <c r="K39" i="9"/>
  <c r="CB23" i="19"/>
  <c r="CC23" i="19"/>
  <c r="CD23" i="19"/>
  <c r="CB24" i="19"/>
  <c r="CC24" i="19"/>
  <c r="CD24" i="19"/>
  <c r="CB25" i="19"/>
  <c r="CC25" i="19"/>
  <c r="CD25" i="19"/>
  <c r="CB26" i="19"/>
  <c r="CC26" i="19"/>
  <c r="CD26" i="19"/>
  <c r="CB27" i="19"/>
  <c r="CC27" i="19"/>
  <c r="CD27" i="19"/>
  <c r="CB28" i="19"/>
  <c r="CC28" i="19"/>
  <c r="CD28" i="19"/>
  <c r="CB29" i="19"/>
  <c r="CC29" i="19"/>
  <c r="CD29" i="19"/>
  <c r="CB30" i="19"/>
  <c r="CC30" i="19"/>
  <c r="CD30" i="19"/>
  <c r="CB31" i="19"/>
  <c r="CC31" i="19"/>
  <c r="CD31" i="19"/>
  <c r="CB32" i="19"/>
  <c r="CC32" i="19"/>
  <c r="CD32" i="19"/>
  <c r="CB33" i="19"/>
  <c r="CC33" i="19"/>
  <c r="CD33" i="19"/>
  <c r="CB34" i="19"/>
  <c r="CC34" i="19"/>
  <c r="CD34" i="19"/>
  <c r="CB35" i="19"/>
  <c r="CC35" i="19"/>
  <c r="CD35" i="19"/>
  <c r="CB36" i="19"/>
  <c r="CC36" i="19"/>
  <c r="CD36" i="19"/>
  <c r="CB37" i="19"/>
  <c r="CC37" i="19"/>
  <c r="CD37" i="19"/>
  <c r="CB38" i="19"/>
  <c r="CC38" i="19"/>
  <c r="CD38" i="19"/>
  <c r="CB39" i="19"/>
  <c r="CC39" i="19"/>
  <c r="CD39" i="19"/>
  <c r="CB40" i="19"/>
  <c r="CC40" i="19"/>
  <c r="CD40" i="19"/>
  <c r="CB41" i="19"/>
  <c r="CC41" i="19"/>
  <c r="CD41" i="19"/>
  <c r="CB42" i="19"/>
  <c r="CC42" i="19"/>
  <c r="CD42" i="19"/>
  <c r="CB43" i="19"/>
  <c r="CC43" i="19"/>
  <c r="CD43" i="19"/>
  <c r="CB44" i="19"/>
  <c r="CC44" i="19"/>
  <c r="CD44" i="19"/>
  <c r="CB45" i="19"/>
  <c r="CC45" i="19"/>
  <c r="CD45" i="19"/>
  <c r="CB46" i="19"/>
  <c r="CC46" i="19"/>
  <c r="CD46" i="19"/>
  <c r="CB47" i="19"/>
  <c r="CC47" i="19"/>
  <c r="CD47" i="19"/>
  <c r="CB48" i="19"/>
  <c r="CC48" i="19"/>
  <c r="CD48" i="19"/>
  <c r="CB49" i="19"/>
  <c r="CC49" i="19"/>
  <c r="CD49" i="19"/>
  <c r="CB50" i="19"/>
  <c r="CC50" i="19"/>
  <c r="CD50" i="19"/>
  <c r="CB51" i="19"/>
  <c r="CC51" i="19"/>
  <c r="CD51" i="19"/>
  <c r="CB52" i="19"/>
  <c r="CC52" i="19"/>
  <c r="CD52" i="19"/>
  <c r="CB53" i="19"/>
  <c r="CC53" i="19"/>
  <c r="CD53" i="19"/>
  <c r="CB54" i="19"/>
  <c r="CC54" i="19"/>
  <c r="CD54" i="19"/>
  <c r="CB55" i="19"/>
  <c r="CC55" i="19"/>
  <c r="CD55" i="19"/>
  <c r="CB56" i="19"/>
  <c r="CC56" i="19"/>
  <c r="CD56" i="19"/>
  <c r="CB57" i="19"/>
  <c r="CC57" i="19"/>
  <c r="CD57" i="19"/>
  <c r="CB58" i="19"/>
  <c r="CC58" i="19"/>
  <c r="CD58" i="19"/>
  <c r="CB59" i="19"/>
  <c r="CC59" i="19"/>
  <c r="CD59" i="19"/>
  <c r="CB60" i="19"/>
  <c r="CC60" i="19"/>
  <c r="CD60" i="19"/>
  <c r="CB61" i="19"/>
  <c r="CC61" i="19"/>
  <c r="CD61" i="19"/>
  <c r="CB62" i="19"/>
  <c r="CC62" i="19"/>
  <c r="CD62" i="19"/>
  <c r="CD22" i="19"/>
  <c r="CC22" i="19"/>
  <c r="CB22" i="19"/>
  <c r="F15" i="42"/>
  <c r="I11" i="16"/>
  <c r="R128" i="18" l="1"/>
  <c r="AY69" i="19"/>
  <c r="S17" i="33"/>
  <c r="T17" i="33"/>
  <c r="U17" i="33"/>
  <c r="R17" i="33"/>
  <c r="A1" i="40"/>
  <c r="M1" i="19"/>
  <c r="A1" i="42"/>
  <c r="B1" i="18"/>
  <c r="A1" i="17"/>
  <c r="E1" i="16"/>
  <c r="B1" i="15"/>
  <c r="E121" i="18" a="1"/>
  <c r="O98" i="18" a="1"/>
  <c r="E121" i="18" l="1"/>
  <c r="O98" i="18"/>
  <c r="I18" i="42"/>
  <c r="I20" i="42" s="1"/>
  <c r="I21" i="42"/>
  <c r="I19" i="42"/>
  <c r="N9" i="16" a="1"/>
  <c r="N9" i="16" s="1"/>
  <c r="L2" i="26"/>
  <c r="E71" i="2"/>
  <c r="E70" i="2"/>
  <c r="E67" i="2"/>
  <c r="E68" i="2"/>
  <c r="E60" i="2"/>
  <c r="E43" i="2"/>
  <c r="E11" i="2"/>
  <c r="E9" i="2"/>
  <c r="E3" i="2"/>
  <c r="E71" i="1"/>
  <c r="E70" i="1"/>
  <c r="E67" i="1"/>
  <c r="E68" i="1"/>
  <c r="E59" i="1"/>
  <c r="E42" i="1"/>
  <c r="E7" i="1"/>
  <c r="E3" i="1"/>
  <c r="BB18" i="19" a="1"/>
  <c r="BB18" i="19" s="1"/>
  <c r="BB17" i="19" a="1"/>
  <c r="BB17" i="19" s="1"/>
  <c r="BB16" i="19" a="1"/>
  <c r="BB16" i="19" s="1"/>
  <c r="BB15" i="19" a="1"/>
  <c r="BB15" i="19" s="1"/>
  <c r="Z17" i="19"/>
  <c r="Q9" i="16" a="1"/>
  <c r="Q9" i="16" l="1"/>
  <c r="O9" i="16" s="1"/>
  <c r="U48" i="36" l="1"/>
  <c r="U42" i="36"/>
  <c r="U37" i="36"/>
  <c r="U31" i="36"/>
  <c r="U25" i="36"/>
  <c r="U19" i="36"/>
  <c r="U12" i="36"/>
  <c r="U4" i="36"/>
  <c r="U48" i="35"/>
  <c r="U42" i="35"/>
  <c r="U37" i="35"/>
  <c r="U31" i="35"/>
  <c r="U25" i="35"/>
  <c r="U19" i="35"/>
  <c r="U12" i="35"/>
  <c r="U4" i="35"/>
  <c r="U48" i="34"/>
  <c r="U42" i="34"/>
  <c r="U37" i="34"/>
  <c r="U31" i="34"/>
  <c r="U25" i="34"/>
  <c r="U19" i="34"/>
  <c r="U12" i="34"/>
  <c r="U4" i="34"/>
  <c r="U12" i="7"/>
  <c r="U19" i="7"/>
  <c r="U25" i="7"/>
  <c r="U31" i="7"/>
  <c r="U37" i="7"/>
  <c r="U42" i="7"/>
  <c r="U48" i="7"/>
  <c r="U4" i="7"/>
  <c r="N50" i="36"/>
  <c r="M50" i="36"/>
  <c r="L50" i="36"/>
  <c r="K50" i="36"/>
  <c r="Y3" i="36"/>
  <c r="X3" i="36"/>
  <c r="W3" i="36"/>
  <c r="V3" i="36"/>
  <c r="T3" i="36"/>
  <c r="T9" i="36" s="1"/>
  <c r="Y9" i="36" s="1"/>
  <c r="S3" i="36"/>
  <c r="S6" i="36" s="1"/>
  <c r="X6" i="36" s="1"/>
  <c r="R3" i="36"/>
  <c r="R47" i="36" s="1"/>
  <c r="W47" i="36" s="1"/>
  <c r="Q3" i="36"/>
  <c r="Q46" i="36" s="1"/>
  <c r="V46" i="36" s="1"/>
  <c r="N50" i="35"/>
  <c r="M50" i="35"/>
  <c r="L50" i="35"/>
  <c r="K50" i="35"/>
  <c r="Y3" i="35"/>
  <c r="X3" i="35"/>
  <c r="W3" i="35"/>
  <c r="V3" i="35"/>
  <c r="T3" i="35"/>
  <c r="T22" i="35" s="1"/>
  <c r="Y22" i="35" s="1"/>
  <c r="S3" i="35"/>
  <c r="S40" i="35" s="1"/>
  <c r="X40" i="35" s="1"/>
  <c r="R3" i="35"/>
  <c r="R11" i="35" s="1"/>
  <c r="W11" i="35" s="1"/>
  <c r="Q3" i="35"/>
  <c r="Q46" i="35" s="1"/>
  <c r="V46" i="35" s="1"/>
  <c r="N50" i="34"/>
  <c r="M50" i="34"/>
  <c r="L50" i="34"/>
  <c r="K50" i="34"/>
  <c r="Y3" i="34"/>
  <c r="X3" i="34"/>
  <c r="W3" i="34"/>
  <c r="V3" i="34"/>
  <c r="T3" i="34"/>
  <c r="S3" i="34"/>
  <c r="S42" i="34" s="1"/>
  <c r="R3" i="34"/>
  <c r="Q3" i="34"/>
  <c r="Q6" i="34" s="1"/>
  <c r="L50" i="7"/>
  <c r="M50" i="7"/>
  <c r="N50" i="7"/>
  <c r="K50" i="7"/>
  <c r="Y3" i="7"/>
  <c r="X3" i="7"/>
  <c r="W3" i="7"/>
  <c r="V3" i="7"/>
  <c r="R3" i="7"/>
  <c r="S3" i="7"/>
  <c r="S25" i="7" s="1"/>
  <c r="X25" i="7" s="1"/>
  <c r="T3" i="7"/>
  <c r="Q3" i="7"/>
  <c r="I12" i="36"/>
  <c r="I19" i="36"/>
  <c r="I25" i="36"/>
  <c r="I31" i="36"/>
  <c r="I37" i="36"/>
  <c r="I42" i="36"/>
  <c r="I48" i="36"/>
  <c r="I4" i="36"/>
  <c r="I12" i="35"/>
  <c r="I19" i="35"/>
  <c r="I25" i="35"/>
  <c r="I31" i="35"/>
  <c r="I37" i="35"/>
  <c r="I42" i="35"/>
  <c r="I48" i="35"/>
  <c r="I4" i="35"/>
  <c r="I12" i="34"/>
  <c r="I19" i="34"/>
  <c r="I25" i="34"/>
  <c r="I31" i="34"/>
  <c r="I37" i="34"/>
  <c r="I42" i="34"/>
  <c r="I48" i="34"/>
  <c r="I4" i="34"/>
  <c r="I4" i="7"/>
  <c r="I12" i="7"/>
  <c r="I19" i="7"/>
  <c r="I25" i="7"/>
  <c r="I31" i="7"/>
  <c r="I37" i="7"/>
  <c r="I42" i="7"/>
  <c r="I48" i="7"/>
  <c r="AR2" i="26"/>
  <c r="AP2" i="26"/>
  <c r="AO2" i="26"/>
  <c r="AN2" i="26"/>
  <c r="AM2" i="26"/>
  <c r="BB9" i="19" a="1"/>
  <c r="BB9" i="19" s="1"/>
  <c r="AZ69" i="19"/>
  <c r="AZ68" i="19"/>
  <c r="AU68" i="19"/>
  <c r="AW68" i="19" s="1"/>
  <c r="AQ68" i="19"/>
  <c r="AS68" i="19" s="1"/>
  <c r="AL2" i="26"/>
  <c r="AJ2" i="26"/>
  <c r="AI2" i="26"/>
  <c r="AH2" i="26"/>
  <c r="AG2" i="26"/>
  <c r="AV8" i="19"/>
  <c r="AZ7" i="19"/>
  <c r="AU7" i="19"/>
  <c r="AW7" i="19" s="1"/>
  <c r="AQ7" i="19"/>
  <c r="AR7" i="19" s="1"/>
  <c r="AS7" i="19" s="1"/>
  <c r="AQ9" i="19"/>
  <c r="AR9" i="19" s="1"/>
  <c r="B23" i="22" l="1" a="1"/>
  <c r="B23" i="22" s="1"/>
  <c r="Q38" i="7"/>
  <c r="V38" i="7" s="1"/>
  <c r="S25" i="34"/>
  <c r="X25" i="34" s="1"/>
  <c r="S31" i="7"/>
  <c r="X31" i="7" s="1"/>
  <c r="T7" i="35"/>
  <c r="Y7" i="35" s="1"/>
  <c r="S48" i="34"/>
  <c r="X48" i="34" s="1"/>
  <c r="T9" i="35"/>
  <c r="Y9" i="35" s="1"/>
  <c r="T15" i="35"/>
  <c r="Y15" i="35" s="1"/>
  <c r="S7" i="34"/>
  <c r="S19" i="35"/>
  <c r="X19" i="35" s="1"/>
  <c r="T19" i="35"/>
  <c r="Y19" i="35" s="1"/>
  <c r="Q4" i="7"/>
  <c r="V4" i="7" s="1"/>
  <c r="S39" i="35"/>
  <c r="X39" i="35" s="1"/>
  <c r="T25" i="35"/>
  <c r="Y25" i="35" s="1"/>
  <c r="S12" i="34"/>
  <c r="X12" i="34" s="1"/>
  <c r="T45" i="35"/>
  <c r="Y45" i="35" s="1"/>
  <c r="R16" i="34"/>
  <c r="W16" i="34" s="1"/>
  <c r="S46" i="35"/>
  <c r="X46" i="35" s="1"/>
  <c r="Q17" i="34"/>
  <c r="V17" i="34" s="1"/>
  <c r="R41" i="35"/>
  <c r="W41" i="35" s="1"/>
  <c r="T22" i="34"/>
  <c r="Q11" i="34"/>
  <c r="V11" i="34" s="1"/>
  <c r="Q25" i="34"/>
  <c r="V25" i="34" s="1"/>
  <c r="Q38" i="34"/>
  <c r="V38" i="34" s="1"/>
  <c r="Q44" i="34"/>
  <c r="V44" i="34" s="1"/>
  <c r="Q12" i="34"/>
  <c r="V12" i="34" s="1"/>
  <c r="R25" i="34"/>
  <c r="W25" i="34" s="1"/>
  <c r="T17" i="35"/>
  <c r="Y17" i="35" s="1"/>
  <c r="R46" i="35"/>
  <c r="W46" i="35" s="1"/>
  <c r="Q40" i="34"/>
  <c r="V40" i="34" s="1"/>
  <c r="S25" i="35"/>
  <c r="X25" i="35" s="1"/>
  <c r="Q23" i="7"/>
  <c r="V23" i="7" s="1"/>
  <c r="T7" i="34"/>
  <c r="Q22" i="34"/>
  <c r="R40" i="34"/>
  <c r="W40" i="34" s="1"/>
  <c r="T48" i="34"/>
  <c r="R6" i="36"/>
  <c r="W6" i="36" s="1"/>
  <c r="T25" i="34"/>
  <c r="Y25" i="34" s="1"/>
  <c r="Q48" i="34"/>
  <c r="V48" i="34" s="1"/>
  <c r="R40" i="7"/>
  <c r="W40" i="7" s="1"/>
  <c r="R22" i="34"/>
  <c r="S28" i="34"/>
  <c r="X28" i="34" s="1"/>
  <c r="S40" i="34"/>
  <c r="X40" i="34" s="1"/>
  <c r="R4" i="35"/>
  <c r="W4" i="35" s="1"/>
  <c r="S36" i="35"/>
  <c r="X36" i="35" s="1"/>
  <c r="Q7" i="34"/>
  <c r="Q44" i="7"/>
  <c r="V44" i="7" s="1"/>
  <c r="Q51" i="7"/>
  <c r="Q40" i="7"/>
  <c r="V40" i="7" s="1"/>
  <c r="Q16" i="7"/>
  <c r="Q16" i="34"/>
  <c r="V16" i="34" s="1"/>
  <c r="S22" i="34"/>
  <c r="T28" i="34"/>
  <c r="Y28" i="34" s="1"/>
  <c r="R6" i="35"/>
  <c r="W6" i="35" s="1"/>
  <c r="T37" i="35"/>
  <c r="Y37" i="35" s="1"/>
  <c r="Q44" i="36"/>
  <c r="V44" i="36" s="1"/>
  <c r="S48" i="7"/>
  <c r="X48" i="7" s="1"/>
  <c r="S40" i="7"/>
  <c r="X40" i="7" s="1"/>
  <c r="T31" i="7"/>
  <c r="Y31" i="7" s="1"/>
  <c r="S23" i="7"/>
  <c r="X23" i="7" s="1"/>
  <c r="S12" i="7"/>
  <c r="X12" i="7" s="1"/>
  <c r="T42" i="34"/>
  <c r="Y42" i="34" s="1"/>
  <c r="R14" i="35"/>
  <c r="W14" i="35" s="1"/>
  <c r="Q5" i="36"/>
  <c r="V5" i="36" s="1"/>
  <c r="Q35" i="36"/>
  <c r="V35" i="36" s="1"/>
  <c r="S17" i="7"/>
  <c r="S22" i="7"/>
  <c r="X22" i="7" s="1"/>
  <c r="S16" i="7"/>
  <c r="S38" i="7"/>
  <c r="X38" i="7" s="1"/>
  <c r="T28" i="7"/>
  <c r="Y28" i="7" s="1"/>
  <c r="Q10" i="36"/>
  <c r="V10" i="36" s="1"/>
  <c r="S4" i="7"/>
  <c r="X4" i="7" s="1"/>
  <c r="T22" i="7"/>
  <c r="Y22" i="7" s="1"/>
  <c r="T6" i="7"/>
  <c r="Q15" i="36"/>
  <c r="V15" i="36" s="1"/>
  <c r="R16" i="7"/>
  <c r="S28" i="7"/>
  <c r="X28" i="7" s="1"/>
  <c r="T37" i="7"/>
  <c r="Y37" i="7" s="1"/>
  <c r="R51" i="7"/>
  <c r="Q48" i="7"/>
  <c r="V48" i="7" s="1"/>
  <c r="T42" i="7"/>
  <c r="Y42" i="7" s="1"/>
  <c r="S37" i="7"/>
  <c r="X37" i="7" s="1"/>
  <c r="Q4" i="34"/>
  <c r="V4" i="34" s="1"/>
  <c r="Q19" i="34"/>
  <c r="V19" i="34" s="1"/>
  <c r="Q23" i="34"/>
  <c r="V23" i="34" s="1"/>
  <c r="Q31" i="34"/>
  <c r="V31" i="34" s="1"/>
  <c r="Q37" i="34"/>
  <c r="V37" i="34" s="1"/>
  <c r="Q41" i="34"/>
  <c r="V41" i="34" s="1"/>
  <c r="S10" i="35"/>
  <c r="X10" i="35" s="1"/>
  <c r="R26" i="35"/>
  <c r="W26" i="35" s="1"/>
  <c r="T47" i="35"/>
  <c r="Y47" i="35" s="1"/>
  <c r="Q20" i="36"/>
  <c r="V20" i="36" s="1"/>
  <c r="S7" i="7"/>
  <c r="R48" i="7"/>
  <c r="W48" i="7" s="1"/>
  <c r="S6" i="7"/>
  <c r="R16" i="36"/>
  <c r="W16" i="36" s="1"/>
  <c r="S51" i="7"/>
  <c r="S42" i="7"/>
  <c r="X42" i="7" s="1"/>
  <c r="R37" i="7"/>
  <c r="W37" i="7" s="1"/>
  <c r="T25" i="7"/>
  <c r="Y25" i="7" s="1"/>
  <c r="R19" i="7"/>
  <c r="W19" i="7" s="1"/>
  <c r="S4" i="34"/>
  <c r="X4" i="34" s="1"/>
  <c r="S19" i="34"/>
  <c r="X19" i="34" s="1"/>
  <c r="S23" i="34"/>
  <c r="X23" i="34" s="1"/>
  <c r="Q28" i="34"/>
  <c r="V28" i="34" s="1"/>
  <c r="R31" i="34"/>
  <c r="W31" i="34" s="1"/>
  <c r="R37" i="34"/>
  <c r="W37" i="34" s="1"/>
  <c r="Q42" i="34"/>
  <c r="V42" i="34" s="1"/>
  <c r="T10" i="35"/>
  <c r="Y10" i="35" s="1"/>
  <c r="S26" i="35"/>
  <c r="X26" i="35" s="1"/>
  <c r="Q25" i="36"/>
  <c r="V25" i="36" s="1"/>
  <c r="T48" i="7"/>
  <c r="Y48" i="7" s="1"/>
  <c r="Q41" i="7"/>
  <c r="V41" i="7" s="1"/>
  <c r="Q19" i="7"/>
  <c r="V19" i="7" s="1"/>
  <c r="T4" i="34"/>
  <c r="Y4" i="34" s="1"/>
  <c r="T19" i="34"/>
  <c r="Y19" i="34" s="1"/>
  <c r="R28" i="34"/>
  <c r="W28" i="34" s="1"/>
  <c r="S37" i="34"/>
  <c r="X37" i="34" s="1"/>
  <c r="T34" i="35"/>
  <c r="Y34" i="35" s="1"/>
  <c r="Q30" i="36"/>
  <c r="V30" i="36" s="1"/>
  <c r="T51" i="36"/>
  <c r="T34" i="36"/>
  <c r="Y34" i="36" s="1"/>
  <c r="T4" i="36"/>
  <c r="Y4" i="36" s="1"/>
  <c r="T45" i="36"/>
  <c r="Y45" i="36" s="1"/>
  <c r="T27" i="36"/>
  <c r="Y27" i="36" s="1"/>
  <c r="T22" i="36"/>
  <c r="Y22" i="36" s="1"/>
  <c r="T39" i="36"/>
  <c r="Y39" i="36" s="1"/>
  <c r="T32" i="36"/>
  <c r="Y32" i="36" s="1"/>
  <c r="T26" i="36"/>
  <c r="Y26" i="36" s="1"/>
  <c r="T21" i="36"/>
  <c r="Y21" i="36" s="1"/>
  <c r="T17" i="36"/>
  <c r="Y17" i="36" s="1"/>
  <c r="T12" i="36"/>
  <c r="Y12" i="36" s="1"/>
  <c r="T7" i="36"/>
  <c r="Y7" i="36" s="1"/>
  <c r="T16" i="36"/>
  <c r="Y16" i="36" s="1"/>
  <c r="T6" i="36"/>
  <c r="Y6" i="36" s="1"/>
  <c r="T11" i="36"/>
  <c r="Y11" i="36" s="1"/>
  <c r="T42" i="36"/>
  <c r="Y42" i="36" s="1"/>
  <c r="T41" i="36"/>
  <c r="Y41" i="36" s="1"/>
  <c r="T35" i="36"/>
  <c r="Y35" i="36" s="1"/>
  <c r="T44" i="36"/>
  <c r="Y44" i="36" s="1"/>
  <c r="T30" i="36"/>
  <c r="Y30" i="36" s="1"/>
  <c r="T5" i="36"/>
  <c r="Y5" i="36" s="1"/>
  <c r="T20" i="36"/>
  <c r="Y20" i="36" s="1"/>
  <c r="T14" i="36"/>
  <c r="Y14" i="36" s="1"/>
  <c r="T40" i="36"/>
  <c r="Y40" i="36" s="1"/>
  <c r="T29" i="36"/>
  <c r="Y29" i="36" s="1"/>
  <c r="T37" i="36"/>
  <c r="Y37" i="36" s="1"/>
  <c r="T10" i="36"/>
  <c r="Y10" i="36" s="1"/>
  <c r="T36" i="36"/>
  <c r="Y36" i="36" s="1"/>
  <c r="T25" i="36"/>
  <c r="Y25" i="36" s="1"/>
  <c r="T19" i="36"/>
  <c r="Y19" i="36" s="1"/>
  <c r="T46" i="36"/>
  <c r="Y46" i="36" s="1"/>
  <c r="T47" i="36"/>
  <c r="Y47" i="36" s="1"/>
  <c r="T15" i="36"/>
  <c r="Y15" i="36" s="1"/>
  <c r="T24" i="36"/>
  <c r="Y24" i="36" s="1"/>
  <c r="T31" i="36"/>
  <c r="Y31" i="36" s="1"/>
  <c r="S47" i="36"/>
  <c r="X47" i="36" s="1"/>
  <c r="S46" i="36"/>
  <c r="X46" i="36" s="1"/>
  <c r="S40" i="36"/>
  <c r="X40" i="36" s="1"/>
  <c r="S19" i="36"/>
  <c r="X19" i="36" s="1"/>
  <c r="S14" i="36"/>
  <c r="X14" i="36" s="1"/>
  <c r="S9" i="36"/>
  <c r="X9" i="36" s="1"/>
  <c r="S4" i="36"/>
  <c r="X4" i="36" s="1"/>
  <c r="S45" i="36"/>
  <c r="X45" i="36" s="1"/>
  <c r="S26" i="36"/>
  <c r="X26" i="36" s="1"/>
  <c r="S21" i="36"/>
  <c r="X21" i="36" s="1"/>
  <c r="S36" i="36"/>
  <c r="X36" i="36" s="1"/>
  <c r="S15" i="36"/>
  <c r="X15" i="36" s="1"/>
  <c r="S24" i="36"/>
  <c r="X24" i="36" s="1"/>
  <c r="S31" i="36"/>
  <c r="X31" i="36" s="1"/>
  <c r="R28" i="7"/>
  <c r="W28" i="7" s="1"/>
  <c r="T12" i="7"/>
  <c r="Y12" i="7" s="1"/>
  <c r="R6" i="7"/>
  <c r="T37" i="34"/>
  <c r="Y37" i="34" s="1"/>
  <c r="S16" i="36"/>
  <c r="X16" i="36" s="1"/>
  <c r="S25" i="36"/>
  <c r="X25" i="36" s="1"/>
  <c r="S35" i="36"/>
  <c r="X35" i="36" s="1"/>
  <c r="R25" i="7"/>
  <c r="W25" i="7" s="1"/>
  <c r="R17" i="34"/>
  <c r="W17" i="34" s="1"/>
  <c r="Q7" i="7"/>
  <c r="Q12" i="7"/>
  <c r="V12" i="7" s="1"/>
  <c r="Q17" i="7"/>
  <c r="Q22" i="7"/>
  <c r="V22" i="7" s="1"/>
  <c r="Q37" i="7"/>
  <c r="V37" i="7" s="1"/>
  <c r="Q42" i="7"/>
  <c r="V42" i="7" s="1"/>
  <c r="S31" i="34"/>
  <c r="X31" i="34" s="1"/>
  <c r="S11" i="34"/>
  <c r="X11" i="34" s="1"/>
  <c r="S6" i="34"/>
  <c r="S41" i="34"/>
  <c r="X41" i="34" s="1"/>
  <c r="S16" i="34"/>
  <c r="X16" i="34" s="1"/>
  <c r="T4" i="7"/>
  <c r="Y4" i="7" s="1"/>
  <c r="R42" i="7"/>
  <c r="W42" i="7" s="1"/>
  <c r="Q31" i="7"/>
  <c r="V31" i="7" s="1"/>
  <c r="Q28" i="7"/>
  <c r="V28" i="7" s="1"/>
  <c r="Q25" i="7"/>
  <c r="V25" i="7" s="1"/>
  <c r="Q6" i="7"/>
  <c r="R11" i="34"/>
  <c r="W11" i="34" s="1"/>
  <c r="S17" i="34"/>
  <c r="X17" i="34" s="1"/>
  <c r="R23" i="34"/>
  <c r="W23" i="34" s="1"/>
  <c r="T40" i="34"/>
  <c r="Y40" i="34" s="1"/>
  <c r="S4" i="35"/>
  <c r="X4" i="35" s="1"/>
  <c r="S30" i="35"/>
  <c r="X30" i="35" s="1"/>
  <c r="T39" i="35"/>
  <c r="Y39" i="35" s="1"/>
  <c r="S10" i="36"/>
  <c r="X10" i="36" s="1"/>
  <c r="T51" i="7"/>
  <c r="T19" i="7"/>
  <c r="Y19" i="7" s="1"/>
  <c r="R44" i="34"/>
  <c r="W44" i="34" s="1"/>
  <c r="R19" i="34"/>
  <c r="W19" i="34" s="1"/>
  <c r="R4" i="34"/>
  <c r="W4" i="34" s="1"/>
  <c r="R31" i="7"/>
  <c r="W31" i="7" s="1"/>
  <c r="T51" i="34"/>
  <c r="T41" i="34"/>
  <c r="Y41" i="34" s="1"/>
  <c r="T31" i="34"/>
  <c r="Y31" i="34" s="1"/>
  <c r="T16" i="34"/>
  <c r="Y16" i="34" s="1"/>
  <c r="T11" i="34"/>
  <c r="Y11" i="34" s="1"/>
  <c r="T6" i="34"/>
  <c r="T44" i="7"/>
  <c r="Y44" i="7" s="1"/>
  <c r="T41" i="7"/>
  <c r="Y41" i="7" s="1"/>
  <c r="T11" i="7"/>
  <c r="Y11" i="7" s="1"/>
  <c r="T17" i="34"/>
  <c r="Y17" i="34" s="1"/>
  <c r="R38" i="34"/>
  <c r="W38" i="34" s="1"/>
  <c r="T4" i="35"/>
  <c r="Y4" i="35" s="1"/>
  <c r="S11" i="35"/>
  <c r="X11" i="35" s="1"/>
  <c r="S20" i="35"/>
  <c r="X20" i="35" s="1"/>
  <c r="T30" i="35"/>
  <c r="Y30" i="35" s="1"/>
  <c r="R26" i="36"/>
  <c r="W26" i="36" s="1"/>
  <c r="S19" i="7"/>
  <c r="X19" i="7" s="1"/>
  <c r="S44" i="7"/>
  <c r="X44" i="7" s="1"/>
  <c r="R4" i="7"/>
  <c r="W4" i="7" s="1"/>
  <c r="R44" i="7"/>
  <c r="W44" i="7" s="1"/>
  <c r="S41" i="7"/>
  <c r="X41" i="7" s="1"/>
  <c r="T38" i="7"/>
  <c r="Y38" i="7" s="1"/>
  <c r="S11" i="7"/>
  <c r="X11" i="7" s="1"/>
  <c r="R12" i="34"/>
  <c r="W12" i="34" s="1"/>
  <c r="T23" i="34"/>
  <c r="Y23" i="34" s="1"/>
  <c r="S38" i="34"/>
  <c r="X38" i="34" s="1"/>
  <c r="R41" i="34"/>
  <c r="W41" i="34" s="1"/>
  <c r="S44" i="34"/>
  <c r="X44" i="34" s="1"/>
  <c r="R47" i="35"/>
  <c r="W47" i="35" s="1"/>
  <c r="R36" i="35"/>
  <c r="W36" i="35" s="1"/>
  <c r="R9" i="35"/>
  <c r="W9" i="35" s="1"/>
  <c r="R21" i="35"/>
  <c r="W21" i="35" s="1"/>
  <c r="T11" i="35"/>
  <c r="Y11" i="35" s="1"/>
  <c r="T20" i="35"/>
  <c r="Y20" i="35" s="1"/>
  <c r="R31" i="35"/>
  <c r="W31" i="35" s="1"/>
  <c r="T40" i="35"/>
  <c r="Y40" i="35" s="1"/>
  <c r="R11" i="36"/>
  <c r="W11" i="36" s="1"/>
  <c r="R7" i="7"/>
  <c r="R12" i="7"/>
  <c r="W12" i="7" s="1"/>
  <c r="R17" i="7"/>
  <c r="R22" i="7"/>
  <c r="W22" i="7" s="1"/>
  <c r="R41" i="7"/>
  <c r="W41" i="7" s="1"/>
  <c r="T23" i="7"/>
  <c r="Y23" i="7" s="1"/>
  <c r="T17" i="7"/>
  <c r="R11" i="7"/>
  <c r="W11" i="7" s="1"/>
  <c r="R6" i="34"/>
  <c r="T38" i="34"/>
  <c r="Y38" i="34" s="1"/>
  <c r="T44" i="34"/>
  <c r="Y44" i="34" s="1"/>
  <c r="S47" i="35"/>
  <c r="X47" i="35" s="1"/>
  <c r="S44" i="35"/>
  <c r="X44" i="35" s="1"/>
  <c r="S29" i="35"/>
  <c r="X29" i="35" s="1"/>
  <c r="S21" i="35"/>
  <c r="X21" i="35" s="1"/>
  <c r="S9" i="35"/>
  <c r="X9" i="35" s="1"/>
  <c r="S41" i="35"/>
  <c r="X41" i="35" s="1"/>
  <c r="S35" i="35"/>
  <c r="X35" i="35" s="1"/>
  <c r="S14" i="35"/>
  <c r="X14" i="35" s="1"/>
  <c r="T12" i="35"/>
  <c r="Y12" i="35" s="1"/>
  <c r="S31" i="35"/>
  <c r="X31" i="35" s="1"/>
  <c r="S11" i="36"/>
  <c r="X11" i="36" s="1"/>
  <c r="S20" i="36"/>
  <c r="X20" i="36" s="1"/>
  <c r="S41" i="36"/>
  <c r="X41" i="36" s="1"/>
  <c r="R38" i="7"/>
  <c r="W38" i="7" s="1"/>
  <c r="Q11" i="7"/>
  <c r="V11" i="7" s="1"/>
  <c r="T12" i="34"/>
  <c r="Y12" i="34" s="1"/>
  <c r="R42" i="34"/>
  <c r="W42" i="34" s="1"/>
  <c r="T51" i="35"/>
  <c r="T29" i="35"/>
  <c r="Y29" i="35" s="1"/>
  <c r="T21" i="35"/>
  <c r="Y21" i="35" s="1"/>
  <c r="T42" i="35"/>
  <c r="Y42" i="35" s="1"/>
  <c r="T35" i="35"/>
  <c r="Y35" i="35" s="1"/>
  <c r="T14" i="35"/>
  <c r="Y14" i="35" s="1"/>
  <c r="T27" i="35"/>
  <c r="Y27" i="35" s="1"/>
  <c r="S6" i="35"/>
  <c r="X6" i="35" s="1"/>
  <c r="S24" i="35"/>
  <c r="X24" i="35" s="1"/>
  <c r="T32" i="35"/>
  <c r="Y32" i="35" s="1"/>
  <c r="T44" i="35"/>
  <c r="Y44" i="35" s="1"/>
  <c r="S5" i="36"/>
  <c r="X5" i="36" s="1"/>
  <c r="S30" i="36"/>
  <c r="X30" i="36" s="1"/>
  <c r="T40" i="7"/>
  <c r="Y40" i="7" s="1"/>
  <c r="R23" i="7"/>
  <c r="W23" i="7" s="1"/>
  <c r="T16" i="7"/>
  <c r="T7" i="7"/>
  <c r="R7" i="34"/>
  <c r="R48" i="34"/>
  <c r="W48" i="34" s="1"/>
  <c r="T6" i="35"/>
  <c r="Y6" i="35" s="1"/>
  <c r="S15" i="35"/>
  <c r="X15" i="35" s="1"/>
  <c r="T24" i="35"/>
  <c r="Y24" i="35" s="1"/>
  <c r="S34" i="35"/>
  <c r="X34" i="35" s="1"/>
  <c r="S45" i="35"/>
  <c r="X45" i="35" s="1"/>
  <c r="R21" i="36"/>
  <c r="W21" i="36" s="1"/>
  <c r="Q39" i="36"/>
  <c r="V39" i="36" s="1"/>
  <c r="Q45" i="36"/>
  <c r="V45" i="36" s="1"/>
  <c r="Q4" i="36"/>
  <c r="V4" i="36" s="1"/>
  <c r="Q9" i="36"/>
  <c r="V9" i="36" s="1"/>
  <c r="Q14" i="36"/>
  <c r="V14" i="36" s="1"/>
  <c r="Q19" i="36"/>
  <c r="V19" i="36" s="1"/>
  <c r="Q34" i="36"/>
  <c r="V34" i="36" s="1"/>
  <c r="Q40" i="36"/>
  <c r="V40" i="36" s="1"/>
  <c r="Q24" i="36"/>
  <c r="V24" i="36" s="1"/>
  <c r="Q29" i="36"/>
  <c r="V29" i="36" s="1"/>
  <c r="Z144" i="30" a="1"/>
  <c r="Z144" i="30" s="1"/>
  <c r="E27" i="33" s="1"/>
  <c r="R31" i="36"/>
  <c r="W31" i="36" s="1"/>
  <c r="R36" i="36"/>
  <c r="W36" i="36" s="1"/>
  <c r="R41" i="36"/>
  <c r="W41" i="36" s="1"/>
  <c r="R46" i="36"/>
  <c r="W46" i="36" s="1"/>
  <c r="R5" i="36"/>
  <c r="W5" i="36" s="1"/>
  <c r="R10" i="36"/>
  <c r="W10" i="36" s="1"/>
  <c r="R15" i="36"/>
  <c r="W15" i="36" s="1"/>
  <c r="R20" i="36"/>
  <c r="W20" i="36" s="1"/>
  <c r="R25" i="36"/>
  <c r="W25" i="36" s="1"/>
  <c r="R30" i="36"/>
  <c r="W30" i="36" s="1"/>
  <c r="R35" i="36"/>
  <c r="W35" i="36" s="1"/>
  <c r="R40" i="36"/>
  <c r="W40" i="36" s="1"/>
  <c r="R45" i="36"/>
  <c r="W45" i="36" s="1"/>
  <c r="R9" i="36"/>
  <c r="W9" i="36" s="1"/>
  <c r="R14" i="36"/>
  <c r="W14" i="36" s="1"/>
  <c r="R19" i="36"/>
  <c r="W19" i="36" s="1"/>
  <c r="R24" i="36"/>
  <c r="W24" i="36" s="1"/>
  <c r="R29" i="36"/>
  <c r="W29" i="36" s="1"/>
  <c r="R34" i="36"/>
  <c r="W34" i="36" s="1"/>
  <c r="R39" i="36"/>
  <c r="W39" i="36" s="1"/>
  <c r="R44" i="36"/>
  <c r="W44" i="36" s="1"/>
  <c r="R4" i="36"/>
  <c r="W4" i="36" s="1"/>
  <c r="Q8" i="36"/>
  <c r="V8" i="36" s="1"/>
  <c r="Q13" i="36"/>
  <c r="V13" i="36" s="1"/>
  <c r="Q18" i="36"/>
  <c r="V18" i="36" s="1"/>
  <c r="Q23" i="36"/>
  <c r="V23" i="36" s="1"/>
  <c r="Q28" i="36"/>
  <c r="V28" i="36" s="1"/>
  <c r="S29" i="36"/>
  <c r="X29" i="36" s="1"/>
  <c r="Q33" i="36"/>
  <c r="V33" i="36" s="1"/>
  <c r="S34" i="36"/>
  <c r="X34" i="36" s="1"/>
  <c r="Q38" i="36"/>
  <c r="V38" i="36" s="1"/>
  <c r="S39" i="36"/>
  <c r="X39" i="36" s="1"/>
  <c r="Q43" i="36"/>
  <c r="V43" i="36" s="1"/>
  <c r="S44" i="36"/>
  <c r="X44" i="36" s="1"/>
  <c r="Q48" i="36"/>
  <c r="V48" i="36" s="1"/>
  <c r="Q51" i="36"/>
  <c r="R8" i="36"/>
  <c r="W8" i="36" s="1"/>
  <c r="R13" i="36"/>
  <c r="W13" i="36" s="1"/>
  <c r="R18" i="36"/>
  <c r="W18" i="36" s="1"/>
  <c r="R28" i="36"/>
  <c r="W28" i="36" s="1"/>
  <c r="R33" i="36"/>
  <c r="W33" i="36" s="1"/>
  <c r="R38" i="36"/>
  <c r="W38" i="36" s="1"/>
  <c r="R43" i="36"/>
  <c r="W43" i="36" s="1"/>
  <c r="R48" i="36"/>
  <c r="W48" i="36" s="1"/>
  <c r="R51" i="36"/>
  <c r="R23" i="36"/>
  <c r="W23" i="36" s="1"/>
  <c r="Q7" i="36"/>
  <c r="V7" i="36" s="1"/>
  <c r="S8" i="36"/>
  <c r="X8" i="36" s="1"/>
  <c r="Q12" i="36"/>
  <c r="V12" i="36" s="1"/>
  <c r="S13" i="36"/>
  <c r="X13" i="36" s="1"/>
  <c r="Q17" i="36"/>
  <c r="V17" i="36" s="1"/>
  <c r="S18" i="36"/>
  <c r="X18" i="36" s="1"/>
  <c r="Q22" i="36"/>
  <c r="V22" i="36" s="1"/>
  <c r="S23" i="36"/>
  <c r="X23" i="36" s="1"/>
  <c r="Q27" i="36"/>
  <c r="V27" i="36" s="1"/>
  <c r="S28" i="36"/>
  <c r="X28" i="36" s="1"/>
  <c r="Q32" i="36"/>
  <c r="V32" i="36" s="1"/>
  <c r="S33" i="36"/>
  <c r="X33" i="36" s="1"/>
  <c r="Q37" i="36"/>
  <c r="V37" i="36" s="1"/>
  <c r="S38" i="36"/>
  <c r="X38" i="36" s="1"/>
  <c r="Q42" i="36"/>
  <c r="V42" i="36" s="1"/>
  <c r="S43" i="36"/>
  <c r="X43" i="36" s="1"/>
  <c r="Q47" i="36"/>
  <c r="V47" i="36" s="1"/>
  <c r="S48" i="36"/>
  <c r="X48" i="36" s="1"/>
  <c r="S51" i="36"/>
  <c r="R7" i="36"/>
  <c r="W7" i="36" s="1"/>
  <c r="T8" i="36"/>
  <c r="Y8" i="36" s="1"/>
  <c r="R12" i="36"/>
  <c r="W12" i="36" s="1"/>
  <c r="T13" i="36"/>
  <c r="Y13" i="36" s="1"/>
  <c r="R17" i="36"/>
  <c r="W17" i="36" s="1"/>
  <c r="T18" i="36"/>
  <c r="Y18" i="36" s="1"/>
  <c r="R22" i="36"/>
  <c r="W22" i="36" s="1"/>
  <c r="T23" i="36"/>
  <c r="Y23" i="36" s="1"/>
  <c r="R27" i="36"/>
  <c r="W27" i="36" s="1"/>
  <c r="T28" i="36"/>
  <c r="Y28" i="36" s="1"/>
  <c r="R32" i="36"/>
  <c r="W32" i="36" s="1"/>
  <c r="T33" i="36"/>
  <c r="Y33" i="36" s="1"/>
  <c r="R37" i="36"/>
  <c r="W37" i="36" s="1"/>
  <c r="T38" i="36"/>
  <c r="Y38" i="36" s="1"/>
  <c r="R42" i="36"/>
  <c r="W42" i="36" s="1"/>
  <c r="T43" i="36"/>
  <c r="Y43" i="36" s="1"/>
  <c r="T48" i="36"/>
  <c r="Y48" i="36" s="1"/>
  <c r="Q6" i="36"/>
  <c r="V6" i="36" s="1"/>
  <c r="S7" i="36"/>
  <c r="X7" i="36" s="1"/>
  <c r="Q11" i="36"/>
  <c r="V11" i="36" s="1"/>
  <c r="S12" i="36"/>
  <c r="X12" i="36" s="1"/>
  <c r="Q16" i="36"/>
  <c r="V16" i="36" s="1"/>
  <c r="S17" i="36"/>
  <c r="X17" i="36" s="1"/>
  <c r="Q21" i="36"/>
  <c r="V21" i="36" s="1"/>
  <c r="S22" i="36"/>
  <c r="X22" i="36" s="1"/>
  <c r="Q26" i="36"/>
  <c r="V26" i="36" s="1"/>
  <c r="S27" i="36"/>
  <c r="X27" i="36" s="1"/>
  <c r="Q31" i="36"/>
  <c r="V31" i="36" s="1"/>
  <c r="S32" i="36"/>
  <c r="X32" i="36" s="1"/>
  <c r="Q36" i="36"/>
  <c r="V36" i="36" s="1"/>
  <c r="S37" i="36"/>
  <c r="X37" i="36" s="1"/>
  <c r="Q41" i="36"/>
  <c r="V41" i="36" s="1"/>
  <c r="S42" i="36"/>
  <c r="X42" i="36" s="1"/>
  <c r="Q10" i="35"/>
  <c r="V10" i="35" s="1"/>
  <c r="Q15" i="35"/>
  <c r="V15" i="35" s="1"/>
  <c r="Q20" i="35"/>
  <c r="V20" i="35" s="1"/>
  <c r="Q25" i="35"/>
  <c r="V25" i="35" s="1"/>
  <c r="Q30" i="35"/>
  <c r="V30" i="35" s="1"/>
  <c r="Q35" i="35"/>
  <c r="V35" i="35" s="1"/>
  <c r="Q40" i="35"/>
  <c r="V40" i="35" s="1"/>
  <c r="Q45" i="35"/>
  <c r="V45" i="35" s="1"/>
  <c r="R10" i="35"/>
  <c r="W10" i="35" s="1"/>
  <c r="R15" i="35"/>
  <c r="W15" i="35" s="1"/>
  <c r="R20" i="35"/>
  <c r="W20" i="35" s="1"/>
  <c r="R25" i="35"/>
  <c r="W25" i="35" s="1"/>
  <c r="T26" i="35"/>
  <c r="Y26" i="35" s="1"/>
  <c r="R30" i="35"/>
  <c r="W30" i="35" s="1"/>
  <c r="T31" i="35"/>
  <c r="Y31" i="35" s="1"/>
  <c r="R35" i="35"/>
  <c r="W35" i="35" s="1"/>
  <c r="T36" i="35"/>
  <c r="Y36" i="35" s="1"/>
  <c r="R40" i="35"/>
  <c r="W40" i="35" s="1"/>
  <c r="T41" i="35"/>
  <c r="Y41" i="35" s="1"/>
  <c r="R45" i="35"/>
  <c r="W45" i="35" s="1"/>
  <c r="T46" i="35"/>
  <c r="Y46" i="35" s="1"/>
  <c r="Q4" i="35"/>
  <c r="V4" i="35" s="1"/>
  <c r="Q9" i="35"/>
  <c r="V9" i="35" s="1"/>
  <c r="Q14" i="35"/>
  <c r="V14" i="35" s="1"/>
  <c r="Q19" i="35"/>
  <c r="V19" i="35" s="1"/>
  <c r="Q24" i="35"/>
  <c r="V24" i="35" s="1"/>
  <c r="Q29" i="35"/>
  <c r="V29" i="35" s="1"/>
  <c r="Q34" i="35"/>
  <c r="V34" i="35" s="1"/>
  <c r="Q39" i="35"/>
  <c r="V39" i="35" s="1"/>
  <c r="Q44" i="35"/>
  <c r="V44" i="35" s="1"/>
  <c r="R19" i="35"/>
  <c r="W19" i="35" s="1"/>
  <c r="R24" i="35"/>
  <c r="W24" i="35" s="1"/>
  <c r="R29" i="35"/>
  <c r="W29" i="35" s="1"/>
  <c r="R34" i="35"/>
  <c r="W34" i="35" s="1"/>
  <c r="R39" i="35"/>
  <c r="W39" i="35" s="1"/>
  <c r="R44" i="35"/>
  <c r="W44" i="35" s="1"/>
  <c r="Q13" i="35"/>
  <c r="V13" i="35" s="1"/>
  <c r="Q18" i="35"/>
  <c r="V18" i="35" s="1"/>
  <c r="Q23" i="35"/>
  <c r="V23" i="35" s="1"/>
  <c r="Q28" i="35"/>
  <c r="V28" i="35" s="1"/>
  <c r="Q33" i="35"/>
  <c r="V33" i="35" s="1"/>
  <c r="Q38" i="35"/>
  <c r="V38" i="35" s="1"/>
  <c r="Q43" i="35"/>
  <c r="V43" i="35" s="1"/>
  <c r="Q48" i="35"/>
  <c r="V48" i="35" s="1"/>
  <c r="Q51" i="35"/>
  <c r="R23" i="35"/>
  <c r="W23" i="35" s="1"/>
  <c r="R28" i="35"/>
  <c r="W28" i="35" s="1"/>
  <c r="R33" i="35"/>
  <c r="W33" i="35" s="1"/>
  <c r="R38" i="35"/>
  <c r="W38" i="35" s="1"/>
  <c r="R43" i="35"/>
  <c r="W43" i="35" s="1"/>
  <c r="R48" i="35"/>
  <c r="W48" i="35" s="1"/>
  <c r="R51" i="35"/>
  <c r="Q7" i="35"/>
  <c r="V7" i="35" s="1"/>
  <c r="Q12" i="35"/>
  <c r="V12" i="35" s="1"/>
  <c r="S13" i="35"/>
  <c r="X13" i="35" s="1"/>
  <c r="Q17" i="35"/>
  <c r="V17" i="35" s="1"/>
  <c r="S18" i="35"/>
  <c r="X18" i="35" s="1"/>
  <c r="Q22" i="35"/>
  <c r="V22" i="35" s="1"/>
  <c r="S23" i="35"/>
  <c r="X23" i="35" s="1"/>
  <c r="Q27" i="35"/>
  <c r="V27" i="35" s="1"/>
  <c r="S28" i="35"/>
  <c r="X28" i="35" s="1"/>
  <c r="Q32" i="35"/>
  <c r="V32" i="35" s="1"/>
  <c r="S33" i="35"/>
  <c r="X33" i="35" s="1"/>
  <c r="Q37" i="35"/>
  <c r="V37" i="35" s="1"/>
  <c r="S38" i="35"/>
  <c r="X38" i="35" s="1"/>
  <c r="Q42" i="35"/>
  <c r="V42" i="35" s="1"/>
  <c r="S43" i="35"/>
  <c r="X43" i="35" s="1"/>
  <c r="Q47" i="35"/>
  <c r="V47" i="35" s="1"/>
  <c r="S48" i="35"/>
  <c r="X48" i="35" s="1"/>
  <c r="S51" i="35"/>
  <c r="R13" i="35"/>
  <c r="W13" i="35" s="1"/>
  <c r="R18" i="35"/>
  <c r="W18" i="35" s="1"/>
  <c r="R7" i="35"/>
  <c r="W7" i="35" s="1"/>
  <c r="R12" i="35"/>
  <c r="W12" i="35" s="1"/>
  <c r="T13" i="35"/>
  <c r="Y13" i="35" s="1"/>
  <c r="R17" i="35"/>
  <c r="W17" i="35" s="1"/>
  <c r="T18" i="35"/>
  <c r="Y18" i="35" s="1"/>
  <c r="R22" i="35"/>
  <c r="W22" i="35" s="1"/>
  <c r="T23" i="35"/>
  <c r="Y23" i="35" s="1"/>
  <c r="R27" i="35"/>
  <c r="W27" i="35" s="1"/>
  <c r="T28" i="35"/>
  <c r="Y28" i="35" s="1"/>
  <c r="R32" i="35"/>
  <c r="W32" i="35" s="1"/>
  <c r="T33" i="35"/>
  <c r="Y33" i="35" s="1"/>
  <c r="R37" i="35"/>
  <c r="W37" i="35" s="1"/>
  <c r="T38" i="35"/>
  <c r="Y38" i="35" s="1"/>
  <c r="R42" i="35"/>
  <c r="W42" i="35" s="1"/>
  <c r="T43" i="35"/>
  <c r="Y43" i="35" s="1"/>
  <c r="T48" i="35"/>
  <c r="Y48" i="35" s="1"/>
  <c r="Q6" i="35"/>
  <c r="V6" i="35" s="1"/>
  <c r="S7" i="35"/>
  <c r="X7" i="35" s="1"/>
  <c r="Q11" i="35"/>
  <c r="V11" i="35" s="1"/>
  <c r="S12" i="35"/>
  <c r="X12" i="35" s="1"/>
  <c r="S17" i="35"/>
  <c r="X17" i="35" s="1"/>
  <c r="Q21" i="35"/>
  <c r="V21" i="35" s="1"/>
  <c r="S22" i="35"/>
  <c r="X22" i="35" s="1"/>
  <c r="Q26" i="35"/>
  <c r="V26" i="35" s="1"/>
  <c r="S27" i="35"/>
  <c r="X27" i="35" s="1"/>
  <c r="Q31" i="35"/>
  <c r="V31" i="35" s="1"/>
  <c r="S32" i="35"/>
  <c r="X32" i="35" s="1"/>
  <c r="Q36" i="35"/>
  <c r="V36" i="35" s="1"/>
  <c r="S37" i="35"/>
  <c r="X37" i="35" s="1"/>
  <c r="Q41" i="35"/>
  <c r="V41" i="35" s="1"/>
  <c r="S42" i="35"/>
  <c r="X42" i="35" s="1"/>
  <c r="Q51" i="34"/>
  <c r="R51" i="34"/>
  <c r="S51" i="34"/>
  <c r="Y48" i="34"/>
  <c r="X42" i="34"/>
  <c r="AV68" i="19"/>
  <c r="AR68" i="19"/>
  <c r="Q68" i="19" a="1"/>
  <c r="Q68" i="19" s="1"/>
  <c r="AW8" i="19"/>
  <c r="AV7" i="19"/>
  <c r="M2" i="25"/>
  <c r="F14" i="42" s="1" a="1"/>
  <c r="F14" i="42" s="1"/>
  <c r="L2" i="25"/>
  <c r="F13" i="42" s="1" a="1"/>
  <c r="F13" i="42" s="1"/>
  <c r="K2" i="25"/>
  <c r="F12" i="42" s="1" a="1"/>
  <c r="F12" i="42" s="1"/>
  <c r="J2" i="25"/>
  <c r="F11" i="42" s="1" a="1"/>
  <c r="F11" i="42" s="1"/>
  <c r="I2" i="25"/>
  <c r="F9" i="42" s="1" a="1"/>
  <c r="F9" i="42" s="1"/>
  <c r="H2" i="25"/>
  <c r="F8" i="42" s="1" a="1"/>
  <c r="F8" i="42" s="1"/>
  <c r="G2" i="25"/>
  <c r="F7" i="42" s="1" a="1"/>
  <c r="F7" i="42" s="1"/>
  <c r="E2" i="25"/>
  <c r="F10" i="42" s="1" a="1"/>
  <c r="F10" i="42" s="1"/>
  <c r="F2" i="25"/>
  <c r="X2" i="26"/>
  <c r="W2" i="26"/>
  <c r="V2" i="26"/>
  <c r="M2" i="26"/>
  <c r="B5" i="22" s="1" a="1"/>
  <c r="B5" i="22" s="1"/>
  <c r="B6" i="22" a="1"/>
  <c r="B6" i="22" s="1"/>
  <c r="I10" i="16" s="1"/>
  <c r="U2" i="26"/>
  <c r="T2" i="26"/>
  <c r="S2" i="26"/>
  <c r="N12" i="42" s="1" a="1"/>
  <c r="N12" i="42" s="1"/>
  <c r="O2" i="26"/>
  <c r="B26" i="22" s="1" a="1"/>
  <c r="B26" i="22" s="1"/>
  <c r="N2" i="26"/>
  <c r="N11" i="42" s="1" a="1"/>
  <c r="N11" i="42" s="1"/>
  <c r="J2" i="26"/>
  <c r="N13" i="42" s="1" a="1"/>
  <c r="N13" i="42" s="1"/>
  <c r="I2" i="26"/>
  <c r="H2" i="26"/>
  <c r="G2" i="26"/>
  <c r="C2" i="26"/>
  <c r="N10" i="42" s="1" a="1"/>
  <c r="N10" i="42" s="1"/>
  <c r="N125" i="18"/>
  <c r="N127" i="18"/>
  <c r="A2" i="42"/>
  <c r="D16" i="31"/>
  <c r="AF2" i="26" s="1"/>
  <c r="I35" i="33" s="1" a="1"/>
  <c r="I35" i="33" s="1"/>
  <c r="D10" i="31"/>
  <c r="AD2" i="26" s="1"/>
  <c r="I34" i="33" s="1" a="1"/>
  <c r="I34" i="33" s="1"/>
  <c r="D4" i="31"/>
  <c r="AB2" i="26" s="1"/>
  <c r="I33" i="33" s="1" a="1"/>
  <c r="I33" i="33" s="1"/>
  <c r="B16" i="31"/>
  <c r="AE2" i="26" s="1"/>
  <c r="I32" i="33" s="1" a="1"/>
  <c r="I32" i="33" s="1"/>
  <c r="B10" i="31"/>
  <c r="AC2" i="26" s="1"/>
  <c r="I31" i="33" s="1" a="1"/>
  <c r="I31" i="33" s="1"/>
  <c r="B4" i="31"/>
  <c r="AA2" i="26" s="1"/>
  <c r="I30" i="33" s="1" a="1"/>
  <c r="I30" i="33" s="1"/>
  <c r="A2" i="40"/>
  <c r="E49" i="35"/>
  <c r="C49" i="35"/>
  <c r="B49" i="35"/>
  <c r="E49" i="36"/>
  <c r="C49" i="36"/>
  <c r="B49" i="36"/>
  <c r="B44" i="36"/>
  <c r="C44" i="36"/>
  <c r="E44" i="36"/>
  <c r="B45" i="36"/>
  <c r="C45" i="36"/>
  <c r="E45" i="36"/>
  <c r="B46" i="36"/>
  <c r="C46" i="36"/>
  <c r="E46" i="36"/>
  <c r="B47" i="36"/>
  <c r="C47" i="36"/>
  <c r="E47" i="36"/>
  <c r="E43" i="36"/>
  <c r="C43" i="36"/>
  <c r="B43" i="36"/>
  <c r="B41" i="36"/>
  <c r="C41" i="36"/>
  <c r="E41" i="36"/>
  <c r="B39" i="36"/>
  <c r="C39" i="36"/>
  <c r="E39" i="36"/>
  <c r="B40" i="36"/>
  <c r="C40" i="36"/>
  <c r="E40" i="36"/>
  <c r="E38" i="36"/>
  <c r="C38" i="36"/>
  <c r="B38" i="36"/>
  <c r="B33" i="36"/>
  <c r="C33" i="36"/>
  <c r="E33" i="36"/>
  <c r="B34" i="36"/>
  <c r="C34" i="36"/>
  <c r="E34" i="36"/>
  <c r="B35" i="36"/>
  <c r="C35" i="36"/>
  <c r="E35" i="36"/>
  <c r="B36" i="36"/>
  <c r="C36" i="36"/>
  <c r="E36" i="36"/>
  <c r="E32" i="36"/>
  <c r="C32" i="36"/>
  <c r="B32" i="36"/>
  <c r="B27" i="36"/>
  <c r="C27" i="36"/>
  <c r="E27" i="36"/>
  <c r="B28" i="36"/>
  <c r="C28" i="36"/>
  <c r="E28" i="36"/>
  <c r="B29" i="36"/>
  <c r="C29" i="36"/>
  <c r="E29" i="36"/>
  <c r="B30" i="36"/>
  <c r="C30" i="36"/>
  <c r="E30" i="36"/>
  <c r="E26" i="36"/>
  <c r="C26" i="36"/>
  <c r="B26" i="36"/>
  <c r="B21" i="36"/>
  <c r="C21" i="36"/>
  <c r="E21" i="36"/>
  <c r="B22" i="36"/>
  <c r="C22" i="36"/>
  <c r="E22" i="36"/>
  <c r="B23" i="36"/>
  <c r="C23" i="36"/>
  <c r="E23" i="36"/>
  <c r="B24" i="36"/>
  <c r="C24" i="36"/>
  <c r="E24" i="36"/>
  <c r="E20" i="36"/>
  <c r="C20" i="36"/>
  <c r="B20" i="36"/>
  <c r="B14" i="36"/>
  <c r="C14" i="36"/>
  <c r="E14" i="36"/>
  <c r="B15" i="36"/>
  <c r="C15" i="36"/>
  <c r="E15" i="36"/>
  <c r="B16" i="36"/>
  <c r="C16" i="36"/>
  <c r="E16" i="36"/>
  <c r="B17" i="36"/>
  <c r="C17" i="36"/>
  <c r="E17" i="36"/>
  <c r="B18" i="36"/>
  <c r="C18" i="36"/>
  <c r="E18" i="36"/>
  <c r="E13" i="36"/>
  <c r="C13" i="36"/>
  <c r="B13" i="36"/>
  <c r="B6" i="36"/>
  <c r="C6" i="36"/>
  <c r="E6" i="36"/>
  <c r="B7" i="36"/>
  <c r="C7" i="36"/>
  <c r="E7" i="36"/>
  <c r="B8" i="36"/>
  <c r="C8" i="36"/>
  <c r="E8" i="36"/>
  <c r="B9" i="36"/>
  <c r="C9" i="36"/>
  <c r="E9" i="36"/>
  <c r="B10" i="36"/>
  <c r="C10" i="36"/>
  <c r="E10" i="36"/>
  <c r="B11" i="36"/>
  <c r="C11" i="36"/>
  <c r="E11" i="36"/>
  <c r="E5" i="36"/>
  <c r="C5" i="36"/>
  <c r="B5" i="36"/>
  <c r="B44" i="35"/>
  <c r="C44" i="35"/>
  <c r="E44" i="35"/>
  <c r="B45" i="35"/>
  <c r="C45" i="35"/>
  <c r="E45" i="35"/>
  <c r="B46" i="35"/>
  <c r="C46" i="35"/>
  <c r="E46" i="35"/>
  <c r="B47" i="35"/>
  <c r="C47" i="35"/>
  <c r="E47" i="35"/>
  <c r="E43" i="35"/>
  <c r="C43" i="35"/>
  <c r="B43" i="35"/>
  <c r="B39" i="35"/>
  <c r="C39" i="35"/>
  <c r="E39" i="35"/>
  <c r="B40" i="35"/>
  <c r="C40" i="35"/>
  <c r="E40" i="35"/>
  <c r="B41" i="35"/>
  <c r="C41" i="35"/>
  <c r="E41" i="35"/>
  <c r="E38" i="35"/>
  <c r="C38" i="35"/>
  <c r="B38" i="35"/>
  <c r="B33" i="35"/>
  <c r="C33" i="35"/>
  <c r="E33" i="35"/>
  <c r="B34" i="35"/>
  <c r="C34" i="35"/>
  <c r="E34" i="35"/>
  <c r="B35" i="35"/>
  <c r="C35" i="35"/>
  <c r="E35" i="35"/>
  <c r="B36" i="35"/>
  <c r="C36" i="35"/>
  <c r="E36" i="35"/>
  <c r="E32" i="35"/>
  <c r="C32" i="35"/>
  <c r="B32" i="35"/>
  <c r="B27" i="35"/>
  <c r="C27" i="35"/>
  <c r="E27" i="35"/>
  <c r="B28" i="35"/>
  <c r="C28" i="35"/>
  <c r="E28" i="35"/>
  <c r="B29" i="35"/>
  <c r="C29" i="35"/>
  <c r="E29" i="35"/>
  <c r="B30" i="35"/>
  <c r="C30" i="35"/>
  <c r="E30" i="35"/>
  <c r="E26" i="35"/>
  <c r="C26" i="35"/>
  <c r="B26" i="35"/>
  <c r="B21" i="35"/>
  <c r="C21" i="35"/>
  <c r="E21" i="35"/>
  <c r="B22" i="35"/>
  <c r="C22" i="35"/>
  <c r="E22" i="35"/>
  <c r="B23" i="35"/>
  <c r="C23" i="35"/>
  <c r="E23" i="35"/>
  <c r="B24" i="35"/>
  <c r="C24" i="35"/>
  <c r="E24" i="35"/>
  <c r="E20" i="35"/>
  <c r="E14" i="35"/>
  <c r="E15" i="35"/>
  <c r="E16" i="35"/>
  <c r="E17" i="35"/>
  <c r="E18" i="35"/>
  <c r="E13" i="35"/>
  <c r="E6" i="35"/>
  <c r="E7" i="35"/>
  <c r="E8" i="35"/>
  <c r="E9" i="35"/>
  <c r="E10" i="35"/>
  <c r="E11" i="35"/>
  <c r="E5" i="35"/>
  <c r="C20" i="35"/>
  <c r="B20" i="35"/>
  <c r="B14" i="35"/>
  <c r="C14" i="35"/>
  <c r="B15" i="35"/>
  <c r="C15" i="35"/>
  <c r="B16" i="35"/>
  <c r="C16" i="35"/>
  <c r="B17" i="35"/>
  <c r="C17" i="35"/>
  <c r="B18" i="35"/>
  <c r="C18" i="35"/>
  <c r="C13" i="35"/>
  <c r="B13" i="35"/>
  <c r="B6" i="35"/>
  <c r="C6" i="35"/>
  <c r="B7" i="35"/>
  <c r="C7" i="35"/>
  <c r="B8" i="35"/>
  <c r="C8" i="35"/>
  <c r="B9" i="35"/>
  <c r="C9" i="35"/>
  <c r="B10" i="35"/>
  <c r="C10" i="35"/>
  <c r="B11" i="35"/>
  <c r="C11" i="35"/>
  <c r="C5" i="35"/>
  <c r="B5" i="35"/>
  <c r="E47" i="34"/>
  <c r="E46" i="34"/>
  <c r="E45" i="34"/>
  <c r="E44" i="34"/>
  <c r="E43" i="34"/>
  <c r="E41" i="34"/>
  <c r="E40" i="34"/>
  <c r="E39" i="34"/>
  <c r="E38" i="34"/>
  <c r="E36" i="34"/>
  <c r="E35" i="34"/>
  <c r="E34" i="34"/>
  <c r="E33" i="34"/>
  <c r="E32" i="34"/>
  <c r="E30" i="34"/>
  <c r="E29" i="34"/>
  <c r="E28" i="34"/>
  <c r="E27" i="34"/>
  <c r="E26" i="34"/>
  <c r="E24" i="34"/>
  <c r="E23" i="34"/>
  <c r="E22" i="34"/>
  <c r="E21" i="34"/>
  <c r="E20" i="34"/>
  <c r="E18" i="34"/>
  <c r="E17" i="34"/>
  <c r="E16" i="34"/>
  <c r="E15" i="34"/>
  <c r="E14" i="34"/>
  <c r="E13" i="34"/>
  <c r="E11" i="34"/>
  <c r="E10" i="34"/>
  <c r="E9" i="34"/>
  <c r="E8" i="34"/>
  <c r="E7" i="34"/>
  <c r="E6" i="34"/>
  <c r="E5" i="34"/>
  <c r="C49" i="34"/>
  <c r="C47" i="34"/>
  <c r="C46" i="34"/>
  <c r="C45" i="34"/>
  <c r="C44" i="34"/>
  <c r="C43" i="34"/>
  <c r="B47" i="34"/>
  <c r="B46" i="34"/>
  <c r="B45" i="34"/>
  <c r="B44" i="34"/>
  <c r="B43" i="34"/>
  <c r="C5" i="34"/>
  <c r="C6" i="34"/>
  <c r="C7" i="34"/>
  <c r="C8" i="34"/>
  <c r="C9" i="34"/>
  <c r="C10" i="34"/>
  <c r="C11" i="34"/>
  <c r="C13" i="34"/>
  <c r="C14" i="34"/>
  <c r="C15" i="34"/>
  <c r="C16" i="34"/>
  <c r="C17" i="34"/>
  <c r="C18" i="34"/>
  <c r="C20" i="34"/>
  <c r="C21" i="34"/>
  <c r="C22" i="34"/>
  <c r="C23" i="34"/>
  <c r="C24" i="34"/>
  <c r="C26" i="34"/>
  <c r="C27" i="34"/>
  <c r="C28" i="34"/>
  <c r="C29" i="34"/>
  <c r="C30" i="34"/>
  <c r="C32" i="34"/>
  <c r="C33" i="34"/>
  <c r="C34" i="34"/>
  <c r="C35" i="34"/>
  <c r="C36" i="34"/>
  <c r="C38" i="34"/>
  <c r="C39" i="34"/>
  <c r="C40" i="34"/>
  <c r="C41" i="34"/>
  <c r="E49" i="34"/>
  <c r="B41" i="34"/>
  <c r="B40" i="34"/>
  <c r="B39" i="34"/>
  <c r="B38" i="34"/>
  <c r="B36" i="34"/>
  <c r="B35" i="34"/>
  <c r="B34" i="34"/>
  <c r="B33" i="34"/>
  <c r="B32" i="34"/>
  <c r="B30" i="34"/>
  <c r="B29" i="34"/>
  <c r="B28" i="34"/>
  <c r="B27" i="34"/>
  <c r="B26" i="34"/>
  <c r="B24" i="34"/>
  <c r="B23" i="34"/>
  <c r="B22" i="34"/>
  <c r="B21" i="34"/>
  <c r="B20" i="34"/>
  <c r="B18" i="34"/>
  <c r="B17" i="34"/>
  <c r="B16" i="34"/>
  <c r="B15" i="34"/>
  <c r="B14" i="34"/>
  <c r="B13" i="34"/>
  <c r="B11" i="34"/>
  <c r="B10" i="34"/>
  <c r="B9" i="34"/>
  <c r="B8" i="34"/>
  <c r="B7" i="34"/>
  <c r="B6" i="34"/>
  <c r="B5" i="34"/>
  <c r="M2" i="19"/>
  <c r="F7" i="15"/>
  <c r="M19" i="15"/>
  <c r="L14" i="15" a="1"/>
  <c r="L14" i="15" s="1"/>
  <c r="M7" i="15"/>
  <c r="I8" i="16"/>
  <c r="E2" i="16"/>
  <c r="F127" i="18"/>
  <c r="J10" i="18"/>
  <c r="J13" i="18"/>
  <c r="J12" i="18"/>
  <c r="E93" i="18"/>
  <c r="B7" i="22"/>
  <c r="E6" i="38" a="1"/>
  <c r="E6" i="38" s="1"/>
  <c r="E7" i="38" a="1"/>
  <c r="E7" i="38" s="1"/>
  <c r="E8" i="38" a="1"/>
  <c r="E8" i="38" s="1"/>
  <c r="E9" i="38" a="1"/>
  <c r="E9" i="38" s="1"/>
  <c r="E10" i="38" a="1"/>
  <c r="E10" i="38" s="1"/>
  <c r="E11" i="38" a="1"/>
  <c r="E11" i="38" s="1"/>
  <c r="E12" i="38" a="1"/>
  <c r="E12" i="38" s="1"/>
  <c r="E13" i="38" a="1"/>
  <c r="E13" i="38" s="1"/>
  <c r="D13" i="38" s="1"/>
  <c r="E14" i="38" a="1"/>
  <c r="E14" i="38" s="1"/>
  <c r="D14" i="38" s="1"/>
  <c r="E15" i="38" a="1"/>
  <c r="E15" i="38" s="1"/>
  <c r="D15" i="38" s="1"/>
  <c r="E16" i="38" a="1"/>
  <c r="E16" i="38" s="1"/>
  <c r="D16" i="38" s="1"/>
  <c r="E17" i="38" a="1"/>
  <c r="E17" i="38" s="1"/>
  <c r="D17" i="38" s="1"/>
  <c r="E18" i="38" a="1"/>
  <c r="E18" i="38" s="1"/>
  <c r="D18" i="38" s="1"/>
  <c r="E19" i="38" a="1"/>
  <c r="E19" i="38" s="1"/>
  <c r="D19" i="38" s="1"/>
  <c r="E20" i="38" a="1"/>
  <c r="E20" i="38" s="1"/>
  <c r="D20" i="38" s="1"/>
  <c r="E21" i="38" a="1"/>
  <c r="E21" i="38" s="1"/>
  <c r="D21" i="38" s="1"/>
  <c r="E22" i="38" a="1"/>
  <c r="E22" i="38" s="1"/>
  <c r="D22" i="38" s="1"/>
  <c r="E23" i="38" a="1"/>
  <c r="E23" i="38" s="1"/>
  <c r="D23" i="38" s="1"/>
  <c r="E24" i="38" a="1"/>
  <c r="E24" i="38" s="1"/>
  <c r="D24" i="38" s="1"/>
  <c r="E25" i="38" a="1"/>
  <c r="E25" i="38" s="1"/>
  <c r="D25" i="38" s="1"/>
  <c r="E26" i="38" a="1"/>
  <c r="E26" i="38" s="1"/>
  <c r="D26" i="38" s="1"/>
  <c r="E27" i="38" a="1"/>
  <c r="E27" i="38" s="1"/>
  <c r="D27" i="38" s="1"/>
  <c r="E28" i="38" a="1"/>
  <c r="E28" i="38" s="1"/>
  <c r="D28" i="38" s="1"/>
  <c r="E29" i="38" a="1"/>
  <c r="E29" i="38" s="1"/>
  <c r="D29" i="38" s="1"/>
  <c r="E30" i="38" a="1"/>
  <c r="E30" i="38" s="1"/>
  <c r="D30" i="38" s="1"/>
  <c r="E31" i="38" a="1"/>
  <c r="E31" i="38" s="1"/>
  <c r="D31" i="38" s="1"/>
  <c r="E2" i="38" a="1"/>
  <c r="E2" i="38" s="1"/>
  <c r="E3" i="38" a="1"/>
  <c r="E3" i="38" s="1"/>
  <c r="E4" i="38" a="1"/>
  <c r="E4" i="38" s="1"/>
  <c r="E5" i="38" a="1"/>
  <c r="E5" i="38" s="1"/>
  <c r="Q82" i="18" a="1"/>
  <c r="Q82" i="18" s="1"/>
  <c r="Q81" i="18" a="1"/>
  <c r="Q81" i="18" s="1"/>
  <c r="U14" i="18" a="1"/>
  <c r="U14" i="18" s="1"/>
  <c r="U13" i="18" a="1"/>
  <c r="U13" i="18" s="1"/>
  <c r="U12" i="18" a="1"/>
  <c r="U12" i="18" s="1"/>
  <c r="U11" i="18" a="1"/>
  <c r="U11" i="18" s="1"/>
  <c r="U10" i="18" a="1"/>
  <c r="U10" i="18" s="1"/>
  <c r="U9" i="18" a="1"/>
  <c r="U9" i="18" s="1"/>
  <c r="U8" i="18" a="1"/>
  <c r="U8" i="18" s="1"/>
  <c r="U7" i="18" a="1"/>
  <c r="U7" i="18" s="1"/>
  <c r="U6" i="18" a="1"/>
  <c r="U6" i="18" s="1"/>
  <c r="U5" i="18" a="1"/>
  <c r="U5" i="18" s="1"/>
  <c r="U4" i="18" a="1"/>
  <c r="U4" i="18" s="1"/>
  <c r="U3" i="18" a="1"/>
  <c r="U3" i="18" s="1"/>
  <c r="BB8" i="19" a="1"/>
  <c r="BB8" i="19" s="1"/>
  <c r="E2" i="37"/>
  <c r="E3" i="37"/>
  <c r="E4" i="37"/>
  <c r="E5" i="37"/>
  <c r="S51" i="32"/>
  <c r="R51" i="32"/>
  <c r="Q51" i="32"/>
  <c r="S50" i="32"/>
  <c r="R50" i="32"/>
  <c r="Q50" i="32"/>
  <c r="S49" i="32"/>
  <c r="R49" i="32"/>
  <c r="Q49" i="32"/>
  <c r="S48" i="32"/>
  <c r="R48" i="32"/>
  <c r="Q48" i="32"/>
  <c r="S47" i="32"/>
  <c r="R47" i="32"/>
  <c r="Q47" i="32"/>
  <c r="S46" i="32"/>
  <c r="R46" i="32"/>
  <c r="Q46" i="32"/>
  <c r="S45" i="32"/>
  <c r="R45" i="32"/>
  <c r="Q45" i="32"/>
  <c r="S44" i="32"/>
  <c r="R44" i="32"/>
  <c r="Q44" i="32"/>
  <c r="S43" i="32"/>
  <c r="R43" i="32"/>
  <c r="Q43" i="32"/>
  <c r="S42" i="32"/>
  <c r="R42" i="32"/>
  <c r="Q42" i="32"/>
  <c r="S41" i="32"/>
  <c r="R41" i="32"/>
  <c r="Q41" i="32"/>
  <c r="S40" i="32"/>
  <c r="R40" i="32"/>
  <c r="Q40" i="32"/>
  <c r="S39" i="32"/>
  <c r="R39" i="32"/>
  <c r="Q39" i="32"/>
  <c r="S38" i="32"/>
  <c r="R38" i="32"/>
  <c r="Q38" i="32"/>
  <c r="S37" i="32"/>
  <c r="R37" i="32"/>
  <c r="S36" i="32"/>
  <c r="R36" i="32"/>
  <c r="Q36" i="32"/>
  <c r="S35" i="32"/>
  <c r="R35" i="32"/>
  <c r="S34" i="32"/>
  <c r="R34" i="32"/>
  <c r="S33" i="32"/>
  <c r="R33" i="32"/>
  <c r="Q33" i="32"/>
  <c r="S32" i="32"/>
  <c r="R32" i="32"/>
  <c r="Q32" i="32"/>
  <c r="S31" i="32"/>
  <c r="R31" i="32"/>
  <c r="Q31" i="32"/>
  <c r="S30" i="32"/>
  <c r="R30" i="32"/>
  <c r="S29" i="32"/>
  <c r="R29" i="32"/>
  <c r="S28" i="32"/>
  <c r="R28" i="32"/>
  <c r="Q28" i="32"/>
  <c r="S27" i="32"/>
  <c r="R27" i="32"/>
  <c r="S26" i="32"/>
  <c r="R26" i="32"/>
  <c r="S25" i="32"/>
  <c r="R25" i="32"/>
  <c r="S24" i="32"/>
  <c r="R24" i="32"/>
  <c r="S23" i="32"/>
  <c r="R23" i="32"/>
  <c r="S22" i="32"/>
  <c r="R22" i="32"/>
  <c r="S21" i="32"/>
  <c r="R21" i="32"/>
  <c r="S20" i="32"/>
  <c r="R20" i="32"/>
  <c r="S19" i="32"/>
  <c r="R19" i="32"/>
  <c r="S18" i="32"/>
  <c r="R18" i="32"/>
  <c r="S17" i="32"/>
  <c r="R17" i="32"/>
  <c r="S16" i="32"/>
  <c r="R16" i="32"/>
  <c r="S15" i="32"/>
  <c r="R15" i="32"/>
  <c r="S14" i="32"/>
  <c r="R14" i="32"/>
  <c r="Q14" i="32"/>
  <c r="S13" i="32"/>
  <c r="R13" i="32"/>
  <c r="Q13" i="32"/>
  <c r="S12" i="32"/>
  <c r="R12" i="32"/>
  <c r="AD129" i="30"/>
  <c r="AA131" i="30" s="1" a="1"/>
  <c r="AA131" i="30" s="1"/>
  <c r="AC129" i="30"/>
  <c r="AA130" i="30" s="1" a="1"/>
  <c r="AA130" i="30" s="1"/>
  <c r="AB129" i="30"/>
  <c r="AD126" i="30"/>
  <c r="AA128" i="30" s="1" a="1"/>
  <c r="AA128" i="30" s="1"/>
  <c r="AC126" i="30"/>
  <c r="AA127" i="30" s="1" a="1"/>
  <c r="AA127" i="30" s="1"/>
  <c r="AB126" i="30"/>
  <c r="AD123" i="30"/>
  <c r="AC123" i="30"/>
  <c r="AB123" i="30"/>
  <c r="AD120" i="30"/>
  <c r="AC120" i="30"/>
  <c r="AB120" i="30"/>
  <c r="AD117" i="30"/>
  <c r="AC117" i="30"/>
  <c r="AB117" i="30"/>
  <c r="AD114" i="30"/>
  <c r="AC114" i="30"/>
  <c r="AA115" i="30" s="1" a="1"/>
  <c r="AA115" i="30" s="1"/>
  <c r="AB114" i="30"/>
  <c r="AD111" i="30"/>
  <c r="AA113" i="30" s="1" a="1"/>
  <c r="AA113" i="30" s="1"/>
  <c r="AC111" i="30"/>
  <c r="AB111" i="30"/>
  <c r="AD108" i="30"/>
  <c r="AC108" i="30"/>
  <c r="AA109" i="30" s="1" a="1"/>
  <c r="AA109" i="30" s="1"/>
  <c r="AB108" i="30"/>
  <c r="AD105" i="30"/>
  <c r="AA107" i="30" s="1" a="1"/>
  <c r="AA107" i="30" s="1"/>
  <c r="AC105" i="30"/>
  <c r="AA106" i="30" s="1" a="1"/>
  <c r="AA106" i="30" s="1"/>
  <c r="AB105" i="30"/>
  <c r="AD102" i="30"/>
  <c r="AA104" i="30" s="1" a="1"/>
  <c r="AA104" i="30" s="1"/>
  <c r="AC102" i="30"/>
  <c r="AB102" i="30"/>
  <c r="AD99" i="30"/>
  <c r="AC99" i="30"/>
  <c r="AA100" i="30" s="1" a="1"/>
  <c r="AA100" i="30" s="1"/>
  <c r="AB99" i="30"/>
  <c r="AD96" i="30"/>
  <c r="AA98" i="30" s="1" a="1"/>
  <c r="AA98" i="30" s="1"/>
  <c r="AC96" i="30"/>
  <c r="AA97" i="30" s="1" a="1"/>
  <c r="AA97" i="30" s="1"/>
  <c r="AB96" i="30"/>
  <c r="AD93" i="30"/>
  <c r="AC93" i="30"/>
  <c r="AA94" i="30" s="1" a="1"/>
  <c r="AA94" i="30" s="1"/>
  <c r="AB93" i="30"/>
  <c r="AD90" i="30"/>
  <c r="AC90" i="30"/>
  <c r="AB90" i="30"/>
  <c r="AD87" i="30"/>
  <c r="AA89" i="30" s="1" a="1"/>
  <c r="AA89" i="30" s="1"/>
  <c r="AD84" i="30"/>
  <c r="AC84" i="30"/>
  <c r="AB84" i="30"/>
  <c r="AD81" i="30"/>
  <c r="AC81" i="30"/>
  <c r="AD78" i="30"/>
  <c r="AC78" i="30"/>
  <c r="AD75" i="30"/>
  <c r="AC75" i="30"/>
  <c r="AB75" i="30"/>
  <c r="AD72" i="30"/>
  <c r="AA74" i="30" s="1" a="1"/>
  <c r="AA74" i="30" s="1"/>
  <c r="AC72" i="30"/>
  <c r="AB72" i="30"/>
  <c r="AD69" i="30"/>
  <c r="AA71" i="30" s="1" a="1"/>
  <c r="AA71" i="30" s="1"/>
  <c r="AC69" i="30"/>
  <c r="AB69" i="30"/>
  <c r="AD66" i="30"/>
  <c r="AA68" i="30" s="1" a="1"/>
  <c r="AA68" i="30" s="1"/>
  <c r="AC66" i="30"/>
  <c r="AD63" i="30"/>
  <c r="AA65" i="30" s="1" a="1"/>
  <c r="AA65" i="30" s="1"/>
  <c r="AC63" i="30"/>
  <c r="AD60" i="30"/>
  <c r="AA62" i="30" s="1" a="1"/>
  <c r="AA62" i="30" s="1"/>
  <c r="AC60" i="30"/>
  <c r="AA61" i="30" s="1" a="1"/>
  <c r="AA61" i="30" s="1"/>
  <c r="AB60" i="30"/>
  <c r="AD57" i="30"/>
  <c r="AA59" i="30" s="1" a="1"/>
  <c r="AA59" i="30" s="1"/>
  <c r="AC57" i="30"/>
  <c r="AA58" i="30" s="1" a="1"/>
  <c r="AA58" i="30" s="1"/>
  <c r="AD54" i="30"/>
  <c r="AA56" i="30" s="1" a="1"/>
  <c r="AA56" i="30" s="1"/>
  <c r="AC54" i="30"/>
  <c r="AD51" i="30"/>
  <c r="AA53" i="30" s="1" a="1"/>
  <c r="AA53" i="30" s="1"/>
  <c r="AC51" i="30"/>
  <c r="AD48" i="30"/>
  <c r="AA50" i="30" s="1" a="1"/>
  <c r="AA50" i="30" s="1"/>
  <c r="AC48" i="30"/>
  <c r="AD45" i="30"/>
  <c r="AA47" i="30" s="1" a="1"/>
  <c r="AA47" i="30" s="1"/>
  <c r="AC45" i="30"/>
  <c r="AA46" i="30" s="1" a="1"/>
  <c r="AA46" i="30" s="1"/>
  <c r="AD42" i="30"/>
  <c r="AA44" i="30" s="1" a="1"/>
  <c r="AA44" i="30" s="1"/>
  <c r="AC42" i="30"/>
  <c r="AA43" i="30" s="1" a="1"/>
  <c r="AA43" i="30" s="1"/>
  <c r="AD39" i="30"/>
  <c r="AA41" i="30" s="1" a="1"/>
  <c r="AA41" i="30" s="1"/>
  <c r="AC39" i="30"/>
  <c r="AD36" i="30"/>
  <c r="AA38" i="30" s="1" a="1"/>
  <c r="AA38" i="30" s="1"/>
  <c r="AD33" i="30"/>
  <c r="AA35" i="30" s="1" a="1"/>
  <c r="AA35" i="30" s="1"/>
  <c r="AC33" i="30"/>
  <c r="AD30" i="30"/>
  <c r="AA32" i="30" s="1" a="1"/>
  <c r="AA32" i="30" s="1"/>
  <c r="AC30" i="30"/>
  <c r="AA31" i="30" s="1" a="1"/>
  <c r="AA31" i="30" s="1"/>
  <c r="AD27" i="30"/>
  <c r="AA29" i="30" s="1" a="1"/>
  <c r="AA29" i="30" s="1"/>
  <c r="AC27" i="30"/>
  <c r="AD24" i="30"/>
  <c r="AA26" i="30" s="1" a="1"/>
  <c r="AA26" i="30" s="1"/>
  <c r="AC24" i="30"/>
  <c r="AD21" i="30"/>
  <c r="AC21" i="30"/>
  <c r="AD18" i="30"/>
  <c r="AA20" i="30" s="1" a="1"/>
  <c r="AA20" i="30" s="1"/>
  <c r="AC18" i="30"/>
  <c r="AA19" i="30" s="1" a="1"/>
  <c r="AA19" i="30" s="1"/>
  <c r="AB18" i="30"/>
  <c r="AD15" i="30"/>
  <c r="AA17" i="30" s="1" a="1"/>
  <c r="AA17" i="30" s="1"/>
  <c r="AC15" i="30"/>
  <c r="AB15" i="30"/>
  <c r="AD12" i="30"/>
  <c r="AA14" i="30" s="1" a="1"/>
  <c r="AA14" i="30" s="1"/>
  <c r="AC12" i="30"/>
  <c r="G51" i="36"/>
  <c r="F51" i="36"/>
  <c r="G51" i="35"/>
  <c r="F51" i="35"/>
  <c r="G51" i="34"/>
  <c r="F51" i="34"/>
  <c r="E2"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2" i="2"/>
  <c r="E4" i="2"/>
  <c r="E5" i="2"/>
  <c r="E6" i="2"/>
  <c r="E7" i="2"/>
  <c r="E8" i="2"/>
  <c r="E10" i="2"/>
  <c r="E12" i="2"/>
  <c r="E16" i="2"/>
  <c r="E18" i="2"/>
  <c r="E20" i="2"/>
  <c r="E21" i="2"/>
  <c r="E22" i="2"/>
  <c r="E23" i="2"/>
  <c r="E24" i="2"/>
  <c r="E25" i="2"/>
  <c r="E26" i="2"/>
  <c r="E27" i="2"/>
  <c r="E28" i="2"/>
  <c r="E30" i="2"/>
  <c r="E31" i="2"/>
  <c r="E32" i="2"/>
  <c r="E33" i="2"/>
  <c r="E34" i="2"/>
  <c r="E35" i="2"/>
  <c r="E36" i="2"/>
  <c r="E37" i="2"/>
  <c r="E39" i="2"/>
  <c r="E40" i="2"/>
  <c r="E41" i="2"/>
  <c r="E42" i="2"/>
  <c r="E44" i="2"/>
  <c r="E45" i="2"/>
  <c r="E46" i="2"/>
  <c r="E47" i="2"/>
  <c r="E48" i="2"/>
  <c r="E49" i="2"/>
  <c r="E50" i="2"/>
  <c r="E51" i="2"/>
  <c r="E52" i="2"/>
  <c r="E54" i="2"/>
  <c r="E55" i="2"/>
  <c r="E56" i="2"/>
  <c r="E57" i="2"/>
  <c r="E58" i="2"/>
  <c r="E59" i="2"/>
  <c r="E61" i="2"/>
  <c r="E62" i="2"/>
  <c r="E63" i="2"/>
  <c r="E64" i="2"/>
  <c r="E65" i="2"/>
  <c r="E66" i="2"/>
  <c r="E69" i="2"/>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2" i="1"/>
  <c r="E4" i="1"/>
  <c r="E5" i="1"/>
  <c r="E6" i="1"/>
  <c r="E8" i="1"/>
  <c r="E9" i="1"/>
  <c r="E10" i="1"/>
  <c r="E12" i="1"/>
  <c r="E13" i="1"/>
  <c r="E15" i="1"/>
  <c r="E17" i="1"/>
  <c r="E18" i="1"/>
  <c r="E19" i="1"/>
  <c r="E20" i="1"/>
  <c r="E21" i="1"/>
  <c r="E22" i="1"/>
  <c r="E23" i="1"/>
  <c r="E24" i="1"/>
  <c r="E25" i="1"/>
  <c r="E26" i="1"/>
  <c r="E27" i="1"/>
  <c r="E29" i="1"/>
  <c r="E30" i="1"/>
  <c r="E31" i="1"/>
  <c r="E32" i="1"/>
  <c r="E33" i="1"/>
  <c r="E34" i="1"/>
  <c r="E35" i="1"/>
  <c r="E36" i="1"/>
  <c r="E38" i="1"/>
  <c r="E39" i="1"/>
  <c r="E40" i="1"/>
  <c r="E41" i="1"/>
  <c r="E43" i="1"/>
  <c r="E44" i="1"/>
  <c r="E45" i="1"/>
  <c r="E46" i="1"/>
  <c r="E47" i="1"/>
  <c r="E48" i="1"/>
  <c r="E49" i="1"/>
  <c r="E50" i="1"/>
  <c r="E51" i="1"/>
  <c r="E53" i="1"/>
  <c r="E54" i="1"/>
  <c r="E55" i="1"/>
  <c r="E56" i="1"/>
  <c r="E57" i="1"/>
  <c r="E58" i="1"/>
  <c r="E60" i="1"/>
  <c r="E61" i="1"/>
  <c r="E62" i="1"/>
  <c r="E63" i="1"/>
  <c r="E65" i="1"/>
  <c r="E66" i="1"/>
  <c r="E69" i="1"/>
  <c r="Y12" i="19"/>
  <c r="Y16" i="19"/>
  <c r="W12" i="19"/>
  <c r="W16" i="19"/>
  <c r="U12" i="19"/>
  <c r="U16" i="19"/>
  <c r="S12" i="19"/>
  <c r="S16" i="19"/>
  <c r="O96" i="18"/>
  <c r="N124" i="18"/>
  <c r="F128" i="18"/>
  <c r="F126" i="18"/>
  <c r="W14" i="18"/>
  <c r="B5" i="7"/>
  <c r="B6" i="7"/>
  <c r="B7" i="7"/>
  <c r="B8" i="7"/>
  <c r="B9" i="7"/>
  <c r="B10" i="7"/>
  <c r="B11" i="7"/>
  <c r="B13" i="7"/>
  <c r="B14" i="7"/>
  <c r="B15" i="7"/>
  <c r="B16" i="7"/>
  <c r="B17" i="7"/>
  <c r="B18" i="7"/>
  <c r="B20" i="7"/>
  <c r="B21" i="7"/>
  <c r="B22" i="7"/>
  <c r="B23" i="7"/>
  <c r="B24" i="7"/>
  <c r="B26" i="7"/>
  <c r="B27" i="7"/>
  <c r="B28" i="7"/>
  <c r="B29" i="7"/>
  <c r="B30" i="7"/>
  <c r="B32" i="7"/>
  <c r="B33" i="7"/>
  <c r="B34" i="7"/>
  <c r="B35" i="7"/>
  <c r="B36" i="7"/>
  <c r="B38" i="7"/>
  <c r="B39" i="7"/>
  <c r="B40" i="7"/>
  <c r="B41" i="7"/>
  <c r="B43" i="7"/>
  <c r="B44" i="7"/>
  <c r="B45" i="7"/>
  <c r="B46" i="7"/>
  <c r="AA4" i="30" a="1"/>
  <c r="AA4" i="30" s="1"/>
  <c r="Q69" i="19" a="1"/>
  <c r="Q69" i="19" s="1"/>
  <c r="B2" i="18"/>
  <c r="A2" i="17"/>
  <c r="E5" i="7"/>
  <c r="C6" i="7"/>
  <c r="E6" i="7"/>
  <c r="C7" i="7"/>
  <c r="E7" i="7"/>
  <c r="C8" i="7"/>
  <c r="E8" i="7"/>
  <c r="C9" i="7"/>
  <c r="E9" i="7"/>
  <c r="C10" i="7"/>
  <c r="E10" i="7"/>
  <c r="C11" i="7"/>
  <c r="E11" i="7"/>
  <c r="C13" i="7"/>
  <c r="E13" i="7"/>
  <c r="C14" i="7"/>
  <c r="E14" i="7"/>
  <c r="C15" i="7"/>
  <c r="E15" i="7"/>
  <c r="C16" i="7"/>
  <c r="E16" i="7"/>
  <c r="C17" i="7"/>
  <c r="E17" i="7"/>
  <c r="C18" i="7"/>
  <c r="E18" i="7"/>
  <c r="C20" i="7"/>
  <c r="E20" i="7"/>
  <c r="C21" i="7"/>
  <c r="E21" i="7"/>
  <c r="C22" i="7"/>
  <c r="E22" i="7"/>
  <c r="C23" i="7"/>
  <c r="E23" i="7"/>
  <c r="C24" i="7"/>
  <c r="E24" i="7"/>
  <c r="C26" i="7"/>
  <c r="E26" i="7"/>
  <c r="C27" i="7"/>
  <c r="E27" i="7"/>
  <c r="C28" i="7"/>
  <c r="E28" i="7"/>
  <c r="C29" i="7"/>
  <c r="E29" i="7"/>
  <c r="C30" i="7"/>
  <c r="E30" i="7"/>
  <c r="C32" i="7"/>
  <c r="E32" i="7"/>
  <c r="C33" i="7"/>
  <c r="E33" i="7"/>
  <c r="C34" i="7"/>
  <c r="E34" i="7"/>
  <c r="C35" i="7"/>
  <c r="E35" i="7"/>
  <c r="C36" i="7"/>
  <c r="E36" i="7"/>
  <c r="C38" i="7"/>
  <c r="E38" i="7"/>
  <c r="C39" i="7"/>
  <c r="E39" i="7"/>
  <c r="C40" i="7"/>
  <c r="E40" i="7"/>
  <c r="C41" i="7"/>
  <c r="E41" i="7"/>
  <c r="C43" i="7"/>
  <c r="E43" i="7"/>
  <c r="C44" i="7"/>
  <c r="E44" i="7"/>
  <c r="C45" i="7"/>
  <c r="E45" i="7"/>
  <c r="C46" i="7"/>
  <c r="E46" i="7"/>
  <c r="C47" i="7"/>
  <c r="E47" i="7"/>
  <c r="C49" i="7"/>
  <c r="E49" i="7"/>
  <c r="F51" i="7"/>
  <c r="G51" i="7"/>
  <c r="E98" i="18" a="1"/>
  <c r="O115" i="18" a="1"/>
  <c r="R81" i="18" a="1"/>
  <c r="R82" i="18" a="1"/>
  <c r="X11" i="18" a="1"/>
  <c r="BE8" i="19" a="1"/>
  <c r="X5" i="18" a="1"/>
  <c r="X10" i="18" a="1"/>
  <c r="X6" i="18" a="1"/>
  <c r="BE9" i="19" a="1"/>
  <c r="G3" i="37"/>
  <c r="X3" i="18" a="1"/>
  <c r="X12" i="18" a="1"/>
  <c r="X7" i="18" a="1"/>
  <c r="X13" i="18" a="1"/>
  <c r="X9" i="18" a="1"/>
  <c r="G2" i="37"/>
  <c r="X14" i="18" a="1"/>
  <c r="O14" i="15" a="1"/>
  <c r="G5" i="37"/>
  <c r="D39" i="9" l="1"/>
  <c r="I39" i="9" s="1"/>
  <c r="O57" i="19" a="1"/>
  <c r="O57" i="19" s="1"/>
  <c r="O58" i="19" a="1"/>
  <c r="O58" i="19" s="1"/>
  <c r="O59" i="19" a="1"/>
  <c r="O59" i="19" s="1"/>
  <c r="G39" i="6"/>
  <c r="G39" i="9"/>
  <c r="D2" i="13"/>
  <c r="D5" i="36" s="1"/>
  <c r="D10" i="13"/>
  <c r="D14" i="36" s="1"/>
  <c r="D18" i="13"/>
  <c r="D23" i="36" s="1"/>
  <c r="D26" i="13"/>
  <c r="D33" i="36" s="1"/>
  <c r="D34" i="13"/>
  <c r="D43" i="36" s="1"/>
  <c r="U43" i="36" s="1"/>
  <c r="D13" i="13"/>
  <c r="D17" i="36" s="1"/>
  <c r="U17" i="36" s="1"/>
  <c r="D29" i="13"/>
  <c r="D36" i="36" s="1"/>
  <c r="U36" i="36" s="1"/>
  <c r="D14" i="13"/>
  <c r="D18" i="36" s="1"/>
  <c r="I18" i="36" s="1"/>
  <c r="D30" i="13"/>
  <c r="D38" i="36" s="1"/>
  <c r="D15" i="13"/>
  <c r="D20" i="36" s="1"/>
  <c r="D39" i="13"/>
  <c r="D49" i="36" s="1"/>
  <c r="U49" i="36" s="1"/>
  <c r="D9" i="13"/>
  <c r="D13" i="36" s="1"/>
  <c r="I13" i="36" s="1"/>
  <c r="D33" i="13"/>
  <c r="D41" i="36" s="1"/>
  <c r="U41" i="36" s="1"/>
  <c r="D3" i="13"/>
  <c r="D6" i="36" s="1"/>
  <c r="I6" i="36" s="1"/>
  <c r="D11" i="13"/>
  <c r="D15" i="36" s="1"/>
  <c r="U15" i="36" s="1"/>
  <c r="D19" i="13"/>
  <c r="D24" i="36" s="1"/>
  <c r="U24" i="36" s="1"/>
  <c r="D27" i="13"/>
  <c r="D34" i="36" s="1"/>
  <c r="D35" i="13"/>
  <c r="D44" i="36" s="1"/>
  <c r="D21" i="13"/>
  <c r="D27" i="36" s="1"/>
  <c r="D6" i="13"/>
  <c r="D9" i="36" s="1"/>
  <c r="D38" i="13"/>
  <c r="D47" i="36" s="1"/>
  <c r="I47" i="36" s="1"/>
  <c r="D23" i="13"/>
  <c r="D29" i="36" s="1"/>
  <c r="U29" i="36" s="1"/>
  <c r="D8" i="13"/>
  <c r="D11" i="36" s="1"/>
  <c r="D24" i="13"/>
  <c r="D30" i="36" s="1"/>
  <c r="I30" i="36" s="1"/>
  <c r="D25" i="13"/>
  <c r="D32" i="36" s="1"/>
  <c r="D4" i="13"/>
  <c r="D7" i="36" s="1"/>
  <c r="D12" i="13"/>
  <c r="D16" i="36" s="1"/>
  <c r="D20" i="13"/>
  <c r="D26" i="36" s="1"/>
  <c r="D28" i="13"/>
  <c r="D35" i="36" s="1"/>
  <c r="D36" i="13"/>
  <c r="D45" i="36" s="1"/>
  <c r="I45" i="36" s="1"/>
  <c r="D5" i="13"/>
  <c r="D8" i="36" s="1"/>
  <c r="I8" i="36" s="1"/>
  <c r="D37" i="13"/>
  <c r="D46" i="36" s="1"/>
  <c r="I46" i="36" s="1"/>
  <c r="D22" i="13"/>
  <c r="D28" i="36" s="1"/>
  <c r="D7" i="13"/>
  <c r="D10" i="36" s="1"/>
  <c r="D31" i="13"/>
  <c r="D39" i="36" s="1"/>
  <c r="D16" i="13"/>
  <c r="D21" i="36" s="1"/>
  <c r="U21" i="36" s="1"/>
  <c r="D32" i="13"/>
  <c r="D40" i="36" s="1"/>
  <c r="D17" i="13"/>
  <c r="D22" i="36" s="1"/>
  <c r="I22" i="36" s="1"/>
  <c r="D4" i="11"/>
  <c r="D7" i="35" s="1"/>
  <c r="D12" i="11"/>
  <c r="D16" i="35" s="1"/>
  <c r="U16" i="35" s="1"/>
  <c r="D20" i="11"/>
  <c r="D26" i="35" s="1"/>
  <c r="D28" i="11"/>
  <c r="D35" i="35" s="1"/>
  <c r="I35" i="35" s="1"/>
  <c r="D36" i="11"/>
  <c r="D45" i="35" s="1"/>
  <c r="I45" i="35" s="1"/>
  <c r="D14" i="11"/>
  <c r="D18" i="35" s="1"/>
  <c r="I18" i="35" s="1"/>
  <c r="D30" i="11"/>
  <c r="D38" i="35" s="1"/>
  <c r="I38" i="35" s="1"/>
  <c r="D15" i="11"/>
  <c r="D20" i="35" s="1"/>
  <c r="I20" i="35" s="1"/>
  <c r="D31" i="11"/>
  <c r="D39" i="35" s="1"/>
  <c r="D8" i="11"/>
  <c r="D11" i="35" s="1"/>
  <c r="D16" i="11"/>
  <c r="D21" i="35" s="1"/>
  <c r="D32" i="11"/>
  <c r="D40" i="35" s="1"/>
  <c r="I40" i="35" s="1"/>
  <c r="D25" i="11"/>
  <c r="D32" i="35" s="1"/>
  <c r="I32" i="35" s="1"/>
  <c r="D2" i="11"/>
  <c r="D5" i="35" s="1"/>
  <c r="I5" i="35" s="1"/>
  <c r="D26" i="11"/>
  <c r="D33" i="35" s="1"/>
  <c r="I33" i="35" s="1"/>
  <c r="D3" i="11"/>
  <c r="D6" i="35" s="1"/>
  <c r="I6" i="35" s="1"/>
  <c r="D27" i="11"/>
  <c r="D34" i="35" s="1"/>
  <c r="D5" i="11"/>
  <c r="D8" i="35" s="1"/>
  <c r="D13" i="11"/>
  <c r="D17" i="35" s="1"/>
  <c r="D21" i="11"/>
  <c r="D27" i="35" s="1"/>
  <c r="D29" i="11"/>
  <c r="D36" i="35" s="1"/>
  <c r="I36" i="35" s="1"/>
  <c r="D37" i="11"/>
  <c r="D46" i="35" s="1"/>
  <c r="I46" i="35" s="1"/>
  <c r="D6" i="11"/>
  <c r="D9" i="35" s="1"/>
  <c r="I9" i="35" s="1"/>
  <c r="D22" i="11"/>
  <c r="D28" i="35" s="1"/>
  <c r="I28" i="35" s="1"/>
  <c r="D38" i="11"/>
  <c r="D47" i="35" s="1"/>
  <c r="D7" i="11"/>
  <c r="D10" i="35" s="1"/>
  <c r="D23" i="11"/>
  <c r="D29" i="35" s="1"/>
  <c r="D39" i="11"/>
  <c r="D49" i="35" s="1"/>
  <c r="R49" i="35" s="1"/>
  <c r="W49" i="35" s="1"/>
  <c r="D24" i="11"/>
  <c r="D30" i="35" s="1"/>
  <c r="U30" i="35" s="1"/>
  <c r="D9" i="11"/>
  <c r="D13" i="35" s="1"/>
  <c r="I13" i="35" s="1"/>
  <c r="D17" i="11"/>
  <c r="D22" i="35" s="1"/>
  <c r="I22" i="35" s="1"/>
  <c r="D33" i="11"/>
  <c r="D41" i="35" s="1"/>
  <c r="I41" i="35" s="1"/>
  <c r="D10" i="11"/>
  <c r="D14" i="35" s="1"/>
  <c r="I14" i="35" s="1"/>
  <c r="D18" i="11"/>
  <c r="D23" i="35" s="1"/>
  <c r="D34" i="11"/>
  <c r="D43" i="35" s="1"/>
  <c r="I43" i="35" s="1"/>
  <c r="D11" i="11"/>
  <c r="D15" i="35" s="1"/>
  <c r="D19" i="11"/>
  <c r="D24" i="35" s="1"/>
  <c r="I24" i="35" s="1"/>
  <c r="D35" i="11"/>
  <c r="D44" i="35" s="1"/>
  <c r="I44" i="35" s="1"/>
  <c r="D6" i="9"/>
  <c r="D9" i="34" s="1"/>
  <c r="D14" i="9"/>
  <c r="D18" i="34" s="1"/>
  <c r="D22" i="9"/>
  <c r="D28" i="34" s="1"/>
  <c r="D30" i="9"/>
  <c r="D38" i="34" s="1"/>
  <c r="D38" i="9"/>
  <c r="D47" i="34" s="1"/>
  <c r="D25" i="9"/>
  <c r="D32" i="34" s="1"/>
  <c r="D18" i="9"/>
  <c r="D23" i="34" s="1"/>
  <c r="D3" i="9"/>
  <c r="D6" i="34" s="1"/>
  <c r="U6" i="34" s="1"/>
  <c r="D27" i="9"/>
  <c r="D4" i="9"/>
  <c r="D7" i="34" s="1"/>
  <c r="U7" i="34" s="1"/>
  <c r="D7" i="9"/>
  <c r="D10" i="34" s="1"/>
  <c r="D15" i="9"/>
  <c r="D20" i="34" s="1"/>
  <c r="D23" i="9"/>
  <c r="D29" i="34" s="1"/>
  <c r="D31" i="9"/>
  <c r="D39" i="34" s="1"/>
  <c r="D2" i="9"/>
  <c r="D5" i="34" s="1"/>
  <c r="I5" i="34" s="1"/>
  <c r="D26" i="9"/>
  <c r="D33" i="34" s="1"/>
  <c r="D11" i="9"/>
  <c r="D15" i="34" s="1"/>
  <c r="D35" i="9"/>
  <c r="D44" i="34" s="1"/>
  <c r="D20" i="9"/>
  <c r="D26" i="34" s="1"/>
  <c r="D8" i="9"/>
  <c r="D11" i="34" s="1"/>
  <c r="D16" i="9"/>
  <c r="D21" i="34" s="1"/>
  <c r="D24" i="9"/>
  <c r="D30" i="34" s="1"/>
  <c r="D32" i="9"/>
  <c r="D40" i="34" s="1"/>
  <c r="D9" i="9"/>
  <c r="D17" i="9"/>
  <c r="D22" i="34" s="1"/>
  <c r="I22" i="34" s="1"/>
  <c r="D10" i="9"/>
  <c r="D14" i="34" s="1"/>
  <c r="D34" i="9"/>
  <c r="D43" i="34" s="1"/>
  <c r="D19" i="9"/>
  <c r="D24" i="34" s="1"/>
  <c r="D12" i="9"/>
  <c r="D16" i="34" s="1"/>
  <c r="D36" i="9"/>
  <c r="D45" i="34" s="1"/>
  <c r="D33" i="9"/>
  <c r="D41" i="34" s="1"/>
  <c r="D5" i="9"/>
  <c r="D8" i="34" s="1"/>
  <c r="D13" i="9"/>
  <c r="D21" i="9"/>
  <c r="D27" i="34" s="1"/>
  <c r="D29" i="9"/>
  <c r="D36" i="34" s="1"/>
  <c r="D37" i="9"/>
  <c r="D46" i="34" s="1"/>
  <c r="D28" i="9"/>
  <c r="D35" i="34" s="1"/>
  <c r="D33" i="6"/>
  <c r="D23" i="6"/>
  <c r="D29" i="7" s="1"/>
  <c r="Q29" i="7" s="1"/>
  <c r="V29" i="7" s="1"/>
  <c r="D13" i="6"/>
  <c r="D17" i="7" s="1"/>
  <c r="U17" i="7" s="1"/>
  <c r="D3" i="6"/>
  <c r="D6" i="7" s="1"/>
  <c r="U6" i="7" s="1"/>
  <c r="D22" i="6"/>
  <c r="D28" i="7" s="1"/>
  <c r="I28" i="7" s="1"/>
  <c r="D12" i="6"/>
  <c r="D16" i="7" s="1"/>
  <c r="U16" i="7" s="1"/>
  <c r="D2" i="6"/>
  <c r="D5" i="7" s="1"/>
  <c r="U5" i="7" s="1"/>
  <c r="D21" i="6"/>
  <c r="D27" i="7" s="1"/>
  <c r="D11" i="6"/>
  <c r="D15" i="7" s="1"/>
  <c r="T15" i="7" s="1"/>
  <c r="Y15" i="7" s="1"/>
  <c r="D20" i="6"/>
  <c r="D26" i="7" s="1"/>
  <c r="T26" i="7" s="1"/>
  <c r="Y26" i="7" s="1"/>
  <c r="D10" i="6"/>
  <c r="D28" i="6"/>
  <c r="D35" i="7" s="1"/>
  <c r="Q35" i="7" s="1"/>
  <c r="V35" i="7" s="1"/>
  <c r="D18" i="6"/>
  <c r="D23" i="7" s="1"/>
  <c r="I23" i="7" s="1"/>
  <c r="D27" i="6"/>
  <c r="D34" i="7" s="1"/>
  <c r="D7" i="6"/>
  <c r="D10" i="7" s="1"/>
  <c r="D32" i="6"/>
  <c r="D40" i="7" s="1"/>
  <c r="I40" i="7" s="1"/>
  <c r="D31" i="6"/>
  <c r="D39" i="7" s="1"/>
  <c r="D30" i="6"/>
  <c r="D38" i="7" s="1"/>
  <c r="I38" i="7" s="1"/>
  <c r="D29" i="6"/>
  <c r="D36" i="7" s="1"/>
  <c r="D19" i="6"/>
  <c r="D24" i="7" s="1"/>
  <c r="D9" i="6"/>
  <c r="D13" i="7" s="1"/>
  <c r="D8" i="6"/>
  <c r="D11" i="7" s="1"/>
  <c r="I11" i="7" s="1"/>
  <c r="D17" i="6"/>
  <c r="D22" i="7" s="1"/>
  <c r="I22" i="7" s="1"/>
  <c r="D4" i="6"/>
  <c r="D7" i="7" s="1"/>
  <c r="U7" i="7" s="1"/>
  <c r="D47" i="7"/>
  <c r="Q47" i="7" s="1"/>
  <c r="V47" i="7" s="1"/>
  <c r="D37" i="6"/>
  <c r="D46" i="7" s="1"/>
  <c r="D36" i="6"/>
  <c r="D45" i="7" s="1"/>
  <c r="D26" i="6"/>
  <c r="D33" i="7" s="1"/>
  <c r="S33" i="7" s="1"/>
  <c r="X33" i="7" s="1"/>
  <c r="D16" i="6"/>
  <c r="D21" i="7" s="1"/>
  <c r="D6" i="6"/>
  <c r="D9" i="7" s="1"/>
  <c r="T9" i="7" s="1"/>
  <c r="Y9" i="7" s="1"/>
  <c r="D25" i="6"/>
  <c r="D32" i="7" s="1"/>
  <c r="R32" i="7" s="1"/>
  <c r="W32" i="7" s="1"/>
  <c r="D15" i="6"/>
  <c r="D20" i="7" s="1"/>
  <c r="S20" i="7" s="1"/>
  <c r="X20" i="7" s="1"/>
  <c r="D5" i="6"/>
  <c r="D8" i="7" s="1"/>
  <c r="U8" i="7" s="1"/>
  <c r="D24" i="6"/>
  <c r="D30" i="7" s="1"/>
  <c r="T30" i="7" s="1"/>
  <c r="Y30" i="7" s="1"/>
  <c r="D14" i="6"/>
  <c r="D18" i="7" s="1"/>
  <c r="T18" i="7" s="1"/>
  <c r="Y18" i="7" s="1"/>
  <c r="D35" i="6"/>
  <c r="D44" i="7" s="1"/>
  <c r="I44" i="7" s="1"/>
  <c r="D34" i="6"/>
  <c r="D43" i="7" s="1"/>
  <c r="R43" i="7" s="1"/>
  <c r="W43" i="7" s="1"/>
  <c r="O54" i="19" a="1"/>
  <c r="O54" i="19" s="1"/>
  <c r="E54" i="19" s="1"/>
  <c r="O44" i="19" a="1"/>
  <c r="O44" i="19" s="1"/>
  <c r="BF44" i="19" s="1"/>
  <c r="O34" i="19" a="1"/>
  <c r="O34" i="19" s="1"/>
  <c r="BF34" i="19" s="1"/>
  <c r="O24" i="19" a="1"/>
  <c r="O24" i="19" s="1"/>
  <c r="BF24" i="19" s="1"/>
  <c r="B127" i="30" a="1"/>
  <c r="B127" i="30" s="1"/>
  <c r="B117" i="30" a="1"/>
  <c r="B117" i="30" s="1"/>
  <c r="B107" i="30" a="1"/>
  <c r="B107" i="30" s="1"/>
  <c r="B97" i="30" a="1"/>
  <c r="B97" i="30" s="1"/>
  <c r="C97" i="30" s="1"/>
  <c r="B87" i="30" a="1"/>
  <c r="B87" i="30" s="1"/>
  <c r="B77" i="30" a="1"/>
  <c r="B77" i="30" s="1"/>
  <c r="B67" i="30" a="1"/>
  <c r="B67" i="30" s="1"/>
  <c r="C67" i="30" s="1"/>
  <c r="B57" i="30" a="1"/>
  <c r="B57" i="30" s="1"/>
  <c r="B47" i="30" a="1"/>
  <c r="B47" i="30" s="1"/>
  <c r="B37" i="30" a="1"/>
  <c r="B37" i="30" s="1"/>
  <c r="C37" i="30" s="1"/>
  <c r="B27" i="30" a="1"/>
  <c r="B27" i="30" s="1"/>
  <c r="C27" i="30" s="1"/>
  <c r="B17" i="30" a="1"/>
  <c r="B17" i="30" s="1"/>
  <c r="B20" i="30" a="1"/>
  <c r="B20" i="30" s="1"/>
  <c r="B79" i="30" a="1"/>
  <c r="B79" i="30" s="1"/>
  <c r="O53" i="19" a="1"/>
  <c r="O53" i="19" s="1"/>
  <c r="O43" i="19" a="1"/>
  <c r="O43" i="19" s="1"/>
  <c r="O33" i="19" a="1"/>
  <c r="O33" i="19" s="1"/>
  <c r="BF33" i="19" s="1"/>
  <c r="O23" i="19" a="1"/>
  <c r="O23" i="19" s="1"/>
  <c r="E23" i="19" s="1"/>
  <c r="B126" i="30" a="1"/>
  <c r="B126" i="30" s="1"/>
  <c r="B116" i="30" a="1"/>
  <c r="B116" i="30" s="1"/>
  <c r="B106" i="30" a="1"/>
  <c r="B106" i="30" s="1"/>
  <c r="C106" i="30" s="1"/>
  <c r="B96" i="30" a="1"/>
  <c r="B96" i="30" s="1"/>
  <c r="B86" i="30" a="1"/>
  <c r="B86" i="30" s="1"/>
  <c r="B76" i="30" a="1"/>
  <c r="B76" i="30" s="1"/>
  <c r="C76" i="30" s="1"/>
  <c r="B66" i="30" a="1"/>
  <c r="B66" i="30" s="1"/>
  <c r="C66" i="30" s="1"/>
  <c r="B56" i="30" a="1"/>
  <c r="B56" i="30" s="1"/>
  <c r="B46" i="30" a="1"/>
  <c r="B46" i="30" s="1"/>
  <c r="B36" i="30" a="1"/>
  <c r="B36" i="30" s="1"/>
  <c r="C36" i="30" s="1"/>
  <c r="B26" i="30" a="1"/>
  <c r="B26" i="30" s="1"/>
  <c r="C26" i="30" s="1"/>
  <c r="B16" i="30" a="1"/>
  <c r="B16" i="30" s="1"/>
  <c r="B40" i="30" a="1"/>
  <c r="B40" i="30" s="1"/>
  <c r="B19" i="30" a="1"/>
  <c r="B19" i="30" s="1"/>
  <c r="O62" i="19" a="1"/>
  <c r="O62" i="19" s="1"/>
  <c r="Q62" i="19" s="1"/>
  <c r="O52" i="19" a="1"/>
  <c r="O52" i="19" s="1"/>
  <c r="O42" i="19" a="1"/>
  <c r="O42" i="19" s="1"/>
  <c r="O32" i="19" a="1"/>
  <c r="O32" i="19" s="1"/>
  <c r="O22" i="19" a="1"/>
  <c r="O22" i="19" s="1"/>
  <c r="B125" i="30" a="1"/>
  <c r="B125" i="30" s="1"/>
  <c r="C125" i="30" s="1"/>
  <c r="B115" i="30" a="1"/>
  <c r="B115" i="30" s="1"/>
  <c r="B105" i="30" a="1"/>
  <c r="B105" i="30" s="1"/>
  <c r="B95" i="30" a="1"/>
  <c r="B95" i="30" s="1"/>
  <c r="B85" i="30" a="1"/>
  <c r="B85" i="30" s="1"/>
  <c r="C85" i="30" s="1"/>
  <c r="B75" i="30" a="1"/>
  <c r="B75" i="30" s="1"/>
  <c r="B65" i="30" a="1"/>
  <c r="B65" i="30" s="1"/>
  <c r="B55" i="30" a="1"/>
  <c r="B55" i="30" s="1"/>
  <c r="C55" i="30" s="1"/>
  <c r="B45" i="30" a="1"/>
  <c r="B45" i="30" s="1"/>
  <c r="C45" i="30" s="1"/>
  <c r="B35" i="30" a="1"/>
  <c r="B35" i="30" s="1"/>
  <c r="C35" i="30" s="1"/>
  <c r="B25" i="30" a="1"/>
  <c r="B25" i="30" s="1"/>
  <c r="C25" i="30" s="1"/>
  <c r="B15" i="30" a="1"/>
  <c r="B15" i="30" s="1"/>
  <c r="B30" i="30" a="1"/>
  <c r="B30" i="30" s="1"/>
  <c r="B49" i="30" a="1"/>
  <c r="B49" i="30" s="1"/>
  <c r="O61" i="19" a="1"/>
  <c r="O61" i="19" s="1"/>
  <c r="Q61" i="19" s="1"/>
  <c r="O51" i="19" a="1"/>
  <c r="O51" i="19" s="1"/>
  <c r="O41" i="19" a="1"/>
  <c r="O41" i="19" s="1"/>
  <c r="O31" i="19" a="1"/>
  <c r="O31" i="19" s="1"/>
  <c r="B124" i="30" a="1"/>
  <c r="B124" i="30" s="1"/>
  <c r="C124" i="30" s="1"/>
  <c r="B114" i="30" a="1"/>
  <c r="B114" i="30" s="1"/>
  <c r="B104" i="30" a="1"/>
  <c r="B104" i="30" s="1"/>
  <c r="C104" i="30" s="1"/>
  <c r="B94" i="30" a="1"/>
  <c r="B94" i="30" s="1"/>
  <c r="B84" i="30" a="1"/>
  <c r="B84" i="30" s="1"/>
  <c r="B74" i="30" a="1"/>
  <c r="B74" i="30" s="1"/>
  <c r="C74" i="30" s="1"/>
  <c r="B64" i="30" a="1"/>
  <c r="B64" i="30" s="1"/>
  <c r="C64" i="30" s="1"/>
  <c r="B54" i="30" a="1"/>
  <c r="B54" i="30" s="1"/>
  <c r="B44" i="30" a="1"/>
  <c r="B44" i="30" s="1"/>
  <c r="C44" i="30" s="1"/>
  <c r="B34" i="30" a="1"/>
  <c r="B34" i="30" s="1"/>
  <c r="C34" i="30" s="1"/>
  <c r="B24" i="30" a="1"/>
  <c r="B24" i="30" s="1"/>
  <c r="B14" i="30" a="1"/>
  <c r="B14" i="30" s="1"/>
  <c r="B70" i="30" a="1"/>
  <c r="B70" i="30" s="1"/>
  <c r="B29" i="30" a="1"/>
  <c r="B29" i="30" s="1"/>
  <c r="C29" i="30" s="1"/>
  <c r="O60" i="19" a="1"/>
  <c r="O60" i="19" s="1"/>
  <c r="Q60" i="19" s="1"/>
  <c r="O50" i="19" a="1"/>
  <c r="O50" i="19" s="1"/>
  <c r="O40" i="19" a="1"/>
  <c r="O40" i="19" s="1"/>
  <c r="O30" i="19" a="1"/>
  <c r="O30" i="19" s="1"/>
  <c r="B123" i="30" a="1"/>
  <c r="B123" i="30" s="1"/>
  <c r="B113" i="30" a="1"/>
  <c r="B113" i="30" s="1"/>
  <c r="B103" i="30" a="1"/>
  <c r="B103" i="30" s="1"/>
  <c r="B93" i="30" a="1"/>
  <c r="B93" i="30" s="1"/>
  <c r="B83" i="30" a="1"/>
  <c r="B83" i="30" s="1"/>
  <c r="B73" i="30" a="1"/>
  <c r="B73" i="30" s="1"/>
  <c r="C73" i="30" s="1"/>
  <c r="B63" i="30" a="1"/>
  <c r="B63" i="30" s="1"/>
  <c r="B53" i="30" a="1"/>
  <c r="B53" i="30" s="1"/>
  <c r="C53" i="30" s="1"/>
  <c r="B43" i="30" a="1"/>
  <c r="B43" i="30" s="1"/>
  <c r="B33" i="30" a="1"/>
  <c r="B33" i="30" s="1"/>
  <c r="B23" i="30" a="1"/>
  <c r="B23" i="30" s="1"/>
  <c r="B13" i="30" a="1"/>
  <c r="B13" i="30" s="1"/>
  <c r="C13" i="30" s="1"/>
  <c r="B60" i="30" a="1"/>
  <c r="B60" i="30" s="1"/>
  <c r="B89" i="30" a="1"/>
  <c r="B89" i="30" s="1"/>
  <c r="O49" i="19" a="1"/>
  <c r="O49" i="19" s="1"/>
  <c r="O39" i="19" a="1"/>
  <c r="O39" i="19" s="1"/>
  <c r="O29" i="19" a="1"/>
  <c r="O29" i="19" s="1"/>
  <c r="E29" i="19" s="1"/>
  <c r="B122" i="30" a="1"/>
  <c r="B122" i="30" s="1"/>
  <c r="C122" i="30" s="1"/>
  <c r="B112" i="30" a="1"/>
  <c r="B112" i="30" s="1"/>
  <c r="C112" i="30" s="1"/>
  <c r="B102" i="30" a="1"/>
  <c r="B102" i="30" s="1"/>
  <c r="B92" i="30" a="1"/>
  <c r="B92" i="30" s="1"/>
  <c r="B82" i="30" a="1"/>
  <c r="B82" i="30" s="1"/>
  <c r="C82" i="30" s="1"/>
  <c r="B72" i="30" a="1"/>
  <c r="B72" i="30" s="1"/>
  <c r="B62" i="30" a="1"/>
  <c r="B62" i="30" s="1"/>
  <c r="C62" i="30" s="1"/>
  <c r="B52" i="30" a="1"/>
  <c r="B52" i="30" s="1"/>
  <c r="C52" i="30" s="1"/>
  <c r="B42" i="30" a="1"/>
  <c r="B42" i="30" s="1"/>
  <c r="B32" i="30" a="1"/>
  <c r="B32" i="30" s="1"/>
  <c r="C32" i="30" s="1"/>
  <c r="B22" i="30" a="1"/>
  <c r="B22" i="30" s="1"/>
  <c r="C22" i="30" s="1"/>
  <c r="B12" i="30" a="1"/>
  <c r="B12" i="30" s="1"/>
  <c r="B80" i="30" a="1"/>
  <c r="B80" i="30" s="1"/>
  <c r="C80" i="30" s="1"/>
  <c r="B59" i="30" a="1"/>
  <c r="B59" i="30" s="1"/>
  <c r="O48" i="19" a="1"/>
  <c r="O48" i="19" s="1"/>
  <c r="BF48" i="19" s="1"/>
  <c r="O38" i="19" a="1"/>
  <c r="O38" i="19" s="1"/>
  <c r="O28" i="19" a="1"/>
  <c r="O28" i="19" s="1"/>
  <c r="B131" i="30" a="1"/>
  <c r="B131" i="30" s="1"/>
  <c r="C131" i="30" s="1"/>
  <c r="B121" i="30" a="1"/>
  <c r="B121" i="30" s="1"/>
  <c r="C121" i="30" s="1"/>
  <c r="B111" i="30" a="1"/>
  <c r="B111" i="30" s="1"/>
  <c r="B101" i="30" a="1"/>
  <c r="B101" i="30" s="1"/>
  <c r="B91" i="30" a="1"/>
  <c r="B91" i="30" s="1"/>
  <c r="B81" i="30" a="1"/>
  <c r="B81" i="30" s="1"/>
  <c r="C81" i="30" s="1"/>
  <c r="B71" i="30" a="1"/>
  <c r="B71" i="30" s="1"/>
  <c r="C71" i="30" s="1"/>
  <c r="B61" i="30" a="1"/>
  <c r="B61" i="30" s="1"/>
  <c r="B51" i="30" a="1"/>
  <c r="B51" i="30" s="1"/>
  <c r="C51" i="30" s="1"/>
  <c r="B41" i="30" a="1"/>
  <c r="B41" i="30" s="1"/>
  <c r="B31" i="30" a="1"/>
  <c r="B31" i="30" s="1"/>
  <c r="B21" i="30" a="1"/>
  <c r="B21" i="30" s="1"/>
  <c r="B90" i="30" a="1"/>
  <c r="B90" i="30" s="1"/>
  <c r="B69" i="30" a="1"/>
  <c r="B69" i="30" s="1"/>
  <c r="O47" i="19" a="1"/>
  <c r="O47" i="19" s="1"/>
  <c r="O37" i="19" a="1"/>
  <c r="O37" i="19" s="1"/>
  <c r="O27" i="19" a="1"/>
  <c r="O27" i="19" s="1"/>
  <c r="B130" i="30" a="1"/>
  <c r="B130" i="30" s="1"/>
  <c r="C130" i="30" s="1"/>
  <c r="B120" i="30" a="1"/>
  <c r="B120" i="30" s="1"/>
  <c r="B110" i="30" a="1"/>
  <c r="B110" i="30" s="1"/>
  <c r="C110" i="30" s="1"/>
  <c r="B100" i="30" a="1"/>
  <c r="B100" i="30" s="1"/>
  <c r="C100" i="30" s="1"/>
  <c r="O56" i="19" a="1"/>
  <c r="O56" i="19" s="1"/>
  <c r="O46" i="19" a="1"/>
  <c r="O46" i="19" s="1"/>
  <c r="O36" i="19" a="1"/>
  <c r="O36" i="19" s="1"/>
  <c r="O26" i="19" a="1"/>
  <c r="O26" i="19" s="1"/>
  <c r="B129" i="30" a="1"/>
  <c r="B129" i="30" s="1"/>
  <c r="B119" i="30" a="1"/>
  <c r="B119" i="30" s="1"/>
  <c r="B109" i="30" a="1"/>
  <c r="B109" i="30" s="1"/>
  <c r="C109" i="30" s="1"/>
  <c r="B99" i="30" a="1"/>
  <c r="B99" i="30" s="1"/>
  <c r="B39" i="30" a="1"/>
  <c r="B39" i="30" s="1"/>
  <c r="O55" i="19" a="1"/>
  <c r="O55" i="19" s="1"/>
  <c r="O45" i="19" a="1"/>
  <c r="O45" i="19" s="1"/>
  <c r="O35" i="19" a="1"/>
  <c r="O35" i="19" s="1"/>
  <c r="O25" i="19" a="1"/>
  <c r="O25" i="19" s="1"/>
  <c r="B128" i="30" a="1"/>
  <c r="B128" i="30" s="1"/>
  <c r="B118" i="30" a="1"/>
  <c r="B118" i="30" s="1"/>
  <c r="C118" i="30" s="1"/>
  <c r="B108" i="30" a="1"/>
  <c r="B108" i="30" s="1"/>
  <c r="B98" i="30" a="1"/>
  <c r="B98" i="30" s="1"/>
  <c r="B88" i="30" a="1"/>
  <c r="B88" i="30" s="1"/>
  <c r="C88" i="30" s="1"/>
  <c r="B78" i="30" a="1"/>
  <c r="B78" i="30" s="1"/>
  <c r="B68" i="30" a="1"/>
  <c r="B68" i="30" s="1"/>
  <c r="C68" i="30" s="1"/>
  <c r="B58" i="30" a="1"/>
  <c r="B58" i="30" s="1"/>
  <c r="C58" i="30" s="1"/>
  <c r="B48" i="30" a="1"/>
  <c r="B48" i="30" s="1"/>
  <c r="C48" i="30" s="1"/>
  <c r="B38" i="30" a="1"/>
  <c r="B38" i="30" s="1"/>
  <c r="C38" i="30" s="1"/>
  <c r="B28" i="30" a="1"/>
  <c r="B28" i="30" s="1"/>
  <c r="C28" i="30" s="1"/>
  <c r="B18" i="30" a="1"/>
  <c r="B18" i="30" s="1"/>
  <c r="B50" i="30" a="1"/>
  <c r="B50" i="30" s="1"/>
  <c r="I11" i="36"/>
  <c r="U11" i="36"/>
  <c r="U22" i="36"/>
  <c r="I28" i="36"/>
  <c r="U28" i="36"/>
  <c r="I34" i="36"/>
  <c r="U34" i="36"/>
  <c r="I44" i="36"/>
  <c r="U44" i="36"/>
  <c r="I10" i="36"/>
  <c r="U10" i="36"/>
  <c r="I14" i="36"/>
  <c r="U14" i="36"/>
  <c r="I27" i="36"/>
  <c r="U27" i="36"/>
  <c r="I33" i="36"/>
  <c r="U33" i="36"/>
  <c r="I7" i="36"/>
  <c r="U7" i="36"/>
  <c r="I16" i="36"/>
  <c r="U16" i="36"/>
  <c r="I23" i="36"/>
  <c r="U23" i="36"/>
  <c r="I35" i="36"/>
  <c r="U35" i="36"/>
  <c r="I39" i="36"/>
  <c r="U39" i="36"/>
  <c r="I40" i="36"/>
  <c r="U40" i="36"/>
  <c r="I5" i="36"/>
  <c r="U5" i="36"/>
  <c r="I9" i="36"/>
  <c r="U9" i="36"/>
  <c r="U18" i="36"/>
  <c r="I20" i="36"/>
  <c r="U20" i="36"/>
  <c r="I26" i="36"/>
  <c r="U26" i="36"/>
  <c r="I32" i="36"/>
  <c r="U32" i="36"/>
  <c r="I38" i="36"/>
  <c r="U38" i="36"/>
  <c r="I8" i="35"/>
  <c r="U8" i="35"/>
  <c r="I17" i="35"/>
  <c r="U17" i="35"/>
  <c r="R5" i="35"/>
  <c r="W5" i="35" s="1"/>
  <c r="I21" i="35"/>
  <c r="U21" i="35"/>
  <c r="I27" i="35"/>
  <c r="U27" i="35"/>
  <c r="I34" i="35"/>
  <c r="U34" i="35"/>
  <c r="I7" i="35"/>
  <c r="U7" i="35"/>
  <c r="I11" i="35"/>
  <c r="U11" i="35"/>
  <c r="I15" i="35"/>
  <c r="U15" i="35"/>
  <c r="I23" i="35"/>
  <c r="U23" i="35"/>
  <c r="I29" i="35"/>
  <c r="U29" i="35"/>
  <c r="I26" i="35"/>
  <c r="U26" i="35"/>
  <c r="I39" i="35"/>
  <c r="U39" i="35"/>
  <c r="I10" i="35"/>
  <c r="U10" i="35"/>
  <c r="U14" i="35"/>
  <c r="I47" i="35"/>
  <c r="U47" i="35"/>
  <c r="I18" i="33"/>
  <c r="N18" i="33"/>
  <c r="D2" i="38"/>
  <c r="D3" i="38"/>
  <c r="D10" i="38"/>
  <c r="D12" i="38"/>
  <c r="D9" i="38"/>
  <c r="D8" i="38"/>
  <c r="D7" i="38"/>
  <c r="D6" i="38"/>
  <c r="D5" i="38"/>
  <c r="D11" i="38"/>
  <c r="D4" i="38"/>
  <c r="AE108" i="30"/>
  <c r="AE75" i="30"/>
  <c r="AE129" i="30"/>
  <c r="AE90" i="30"/>
  <c r="AE120" i="30"/>
  <c r="AE15" i="30"/>
  <c r="AE111" i="30"/>
  <c r="AE102" i="30"/>
  <c r="AE96" i="30"/>
  <c r="AE114" i="30"/>
  <c r="AE18" i="30"/>
  <c r="AE72" i="30"/>
  <c r="AE84" i="30"/>
  <c r="AE93" i="30"/>
  <c r="AE123" i="30"/>
  <c r="AE105" i="30"/>
  <c r="AA126" i="30" a="1"/>
  <c r="AA126" i="30" s="1"/>
  <c r="AE126" i="30"/>
  <c r="AE117" i="30"/>
  <c r="AE99" i="30"/>
  <c r="AE69" i="30"/>
  <c r="AA60" i="30" a="1"/>
  <c r="AA60" i="30" s="1"/>
  <c r="AE60" i="30"/>
  <c r="C2" i="25"/>
  <c r="B2" i="25"/>
  <c r="BD17" i="19"/>
  <c r="BD18" i="19"/>
  <c r="BD15" i="19"/>
  <c r="BD16" i="19"/>
  <c r="V144" i="30"/>
  <c r="O57" i="32" s="1"/>
  <c r="AA2" i="30"/>
  <c r="T4" i="32"/>
  <c r="S13" i="19"/>
  <c r="S14" i="19" s="1"/>
  <c r="U13" i="19"/>
  <c r="U14" i="19" s="1"/>
  <c r="W13" i="19"/>
  <c r="W14" i="19" s="1"/>
  <c r="Y13" i="19"/>
  <c r="D41" i="7"/>
  <c r="I41" i="7" s="1"/>
  <c r="D14" i="7"/>
  <c r="F9" i="6"/>
  <c r="F19" i="6"/>
  <c r="F29" i="6"/>
  <c r="F7" i="6"/>
  <c r="F27" i="6"/>
  <c r="F10" i="6"/>
  <c r="I10" i="6" s="1"/>
  <c r="F20" i="6"/>
  <c r="F30" i="6"/>
  <c r="F11" i="6"/>
  <c r="F21" i="6"/>
  <c r="F31" i="6"/>
  <c r="F17" i="6"/>
  <c r="F37" i="6"/>
  <c r="F2" i="6"/>
  <c r="F12" i="6"/>
  <c r="F22" i="6"/>
  <c r="F32" i="6"/>
  <c r="F3" i="6"/>
  <c r="F13" i="6"/>
  <c r="F23" i="6"/>
  <c r="F33" i="6"/>
  <c r="F14" i="6"/>
  <c r="F24" i="6"/>
  <c r="F34" i="6"/>
  <c r="F8" i="6"/>
  <c r="F18" i="6"/>
  <c r="F38" i="6"/>
  <c r="F5" i="6"/>
  <c r="F15" i="6"/>
  <c r="F25" i="6"/>
  <c r="F35" i="6"/>
  <c r="F28" i="6"/>
  <c r="F16" i="6"/>
  <c r="F26" i="6"/>
  <c r="F36" i="6"/>
  <c r="D17" i="34"/>
  <c r="D34" i="34"/>
  <c r="D13" i="34"/>
  <c r="F3" i="37"/>
  <c r="F2" i="37"/>
  <c r="F4" i="37"/>
  <c r="I7" i="16"/>
  <c r="AB2" i="21"/>
  <c r="DL22" i="19" s="1"/>
  <c r="B27" i="22" a="1"/>
  <c r="B27" i="22" s="1"/>
  <c r="T57" i="32"/>
  <c r="T49" i="36"/>
  <c r="Y49" i="36" s="1"/>
  <c r="Q49" i="36"/>
  <c r="V49" i="36" s="1"/>
  <c r="I49" i="36"/>
  <c r="S49" i="36"/>
  <c r="X49" i="36" s="1"/>
  <c r="F3" i="13"/>
  <c r="F13" i="13"/>
  <c r="F23" i="13"/>
  <c r="F33" i="13"/>
  <c r="F4" i="13"/>
  <c r="F14" i="13"/>
  <c r="F24" i="13"/>
  <c r="G24" i="13" s="1"/>
  <c r="F34" i="13"/>
  <c r="F5" i="13"/>
  <c r="F15" i="13"/>
  <c r="F25" i="13"/>
  <c r="G25" i="13" s="1"/>
  <c r="F35" i="13"/>
  <c r="G35" i="13" s="1"/>
  <c r="F36" i="13"/>
  <c r="F6" i="13"/>
  <c r="F16" i="13"/>
  <c r="F26" i="13"/>
  <c r="F7" i="13"/>
  <c r="G7" i="13" s="1"/>
  <c r="F17" i="13"/>
  <c r="F27" i="13"/>
  <c r="F37" i="13"/>
  <c r="F8" i="13"/>
  <c r="F18" i="13"/>
  <c r="G18" i="13" s="1"/>
  <c r="F28" i="13"/>
  <c r="F38" i="13"/>
  <c r="F9" i="13"/>
  <c r="F19" i="13"/>
  <c r="F29" i="13"/>
  <c r="F39" i="13"/>
  <c r="G39" i="13" s="1"/>
  <c r="F10" i="13"/>
  <c r="G10" i="13" s="1"/>
  <c r="F20" i="13"/>
  <c r="F30" i="13"/>
  <c r="F11" i="13"/>
  <c r="F21" i="13"/>
  <c r="F31" i="13"/>
  <c r="F2" i="13"/>
  <c r="F12" i="13"/>
  <c r="F22" i="13"/>
  <c r="F32" i="13"/>
  <c r="G32" i="13" s="1"/>
  <c r="R49" i="36"/>
  <c r="W49" i="36" s="1"/>
  <c r="H11" i="13"/>
  <c r="H3" i="13"/>
  <c r="S8" i="35"/>
  <c r="X8" i="35" s="1"/>
  <c r="I16" i="35"/>
  <c r="T16" i="35"/>
  <c r="Y16" i="35" s="1"/>
  <c r="R16" i="35"/>
  <c r="W16" i="35" s="1"/>
  <c r="S16" i="35"/>
  <c r="X16" i="35" s="1"/>
  <c r="R8" i="35"/>
  <c r="W8" i="35" s="1"/>
  <c r="F7" i="11"/>
  <c r="G7" i="11" s="1"/>
  <c r="F17" i="11"/>
  <c r="F27" i="11"/>
  <c r="F37" i="11"/>
  <c r="F34" i="11"/>
  <c r="G34" i="11" s="1"/>
  <c r="F35" i="11"/>
  <c r="F8" i="11"/>
  <c r="F18" i="11"/>
  <c r="F28" i="11"/>
  <c r="F38" i="11"/>
  <c r="F30" i="11"/>
  <c r="F25" i="11"/>
  <c r="F9" i="11"/>
  <c r="F19" i="11"/>
  <c r="F29" i="11"/>
  <c r="F39" i="11"/>
  <c r="F24" i="11"/>
  <c r="F10" i="11"/>
  <c r="G10" i="11" s="1"/>
  <c r="F20" i="11"/>
  <c r="F5" i="11"/>
  <c r="F11" i="11"/>
  <c r="F21" i="11"/>
  <c r="F31" i="11"/>
  <c r="F2" i="11"/>
  <c r="F12" i="11"/>
  <c r="I12" i="11" s="1"/>
  <c r="F22" i="11"/>
  <c r="F32" i="11"/>
  <c r="F15" i="11"/>
  <c r="F3" i="11"/>
  <c r="F13" i="11"/>
  <c r="I13" i="11" s="1"/>
  <c r="F23" i="11"/>
  <c r="G23" i="11" s="1"/>
  <c r="F33" i="11"/>
  <c r="F4" i="11"/>
  <c r="F14" i="11"/>
  <c r="F6" i="11"/>
  <c r="F16" i="11"/>
  <c r="F26" i="11"/>
  <c r="F36" i="11"/>
  <c r="T5" i="35"/>
  <c r="Y5" i="35" s="1"/>
  <c r="S5" i="35"/>
  <c r="X5" i="35" s="1"/>
  <c r="Q16" i="35"/>
  <c r="V16" i="35" s="1"/>
  <c r="T8" i="35"/>
  <c r="Y8" i="35" s="1"/>
  <c r="Q8" i="35"/>
  <c r="V8" i="35" s="1"/>
  <c r="Q5" i="35"/>
  <c r="V5" i="35" s="1"/>
  <c r="V22" i="34"/>
  <c r="Y22" i="34"/>
  <c r="X22" i="34"/>
  <c r="F7" i="9"/>
  <c r="F17" i="9"/>
  <c r="F27" i="9"/>
  <c r="F37" i="9"/>
  <c r="F8" i="9"/>
  <c r="F18" i="9"/>
  <c r="F28" i="9"/>
  <c r="F38" i="9"/>
  <c r="F9" i="9"/>
  <c r="F19" i="9"/>
  <c r="F29" i="9"/>
  <c r="F10" i="9"/>
  <c r="F20" i="9"/>
  <c r="F30" i="9"/>
  <c r="F11" i="9"/>
  <c r="F21" i="9"/>
  <c r="F31" i="9"/>
  <c r="F2" i="9"/>
  <c r="F12" i="9"/>
  <c r="F22" i="9"/>
  <c r="F32" i="9"/>
  <c r="F3" i="9"/>
  <c r="F13" i="9"/>
  <c r="F23" i="9"/>
  <c r="F33" i="9"/>
  <c r="F4" i="9"/>
  <c r="F14" i="9"/>
  <c r="F24" i="9"/>
  <c r="F34" i="9"/>
  <c r="F5" i="9"/>
  <c r="F15" i="9"/>
  <c r="F25" i="9"/>
  <c r="F35" i="9"/>
  <c r="F6" i="9"/>
  <c r="F16" i="9"/>
  <c r="F26" i="9"/>
  <c r="F36" i="9"/>
  <c r="X6" i="34"/>
  <c r="Y7" i="34"/>
  <c r="V7" i="34"/>
  <c r="W7" i="34"/>
  <c r="X7" i="34"/>
  <c r="V6" i="34"/>
  <c r="Y6" i="34"/>
  <c r="W6" i="34"/>
  <c r="W16" i="7"/>
  <c r="X16" i="7"/>
  <c r="Y16" i="7"/>
  <c r="V16" i="7"/>
  <c r="V17" i="7"/>
  <c r="W17" i="7"/>
  <c r="X17" i="7"/>
  <c r="Y17" i="7"/>
  <c r="V7" i="7"/>
  <c r="W7" i="7"/>
  <c r="X7" i="7"/>
  <c r="Y7" i="7"/>
  <c r="W6" i="7"/>
  <c r="X6" i="7"/>
  <c r="Y6" i="7"/>
  <c r="V6" i="7"/>
  <c r="H11" i="11"/>
  <c r="H4" i="11"/>
  <c r="H5" i="11"/>
  <c r="H13" i="6"/>
  <c r="H9" i="6"/>
  <c r="H4" i="6"/>
  <c r="H38" i="6"/>
  <c r="H24" i="6"/>
  <c r="B25" i="38"/>
  <c r="B15" i="38"/>
  <c r="B5" i="37"/>
  <c r="B5" i="38"/>
  <c r="B4" i="37"/>
  <c r="B24" i="38"/>
  <c r="B14" i="38"/>
  <c r="B4" i="38"/>
  <c r="B3" i="37"/>
  <c r="B23" i="38"/>
  <c r="B13" i="38"/>
  <c r="B3" i="38"/>
  <c r="B2" i="37"/>
  <c r="B22" i="38"/>
  <c r="B12" i="38"/>
  <c r="B2" i="38"/>
  <c r="B31" i="38"/>
  <c r="B21" i="38"/>
  <c r="B11" i="38"/>
  <c r="B30" i="38"/>
  <c r="B20" i="38"/>
  <c r="B10" i="38"/>
  <c r="B29" i="38"/>
  <c r="B19" i="38"/>
  <c r="B9" i="38"/>
  <c r="B28" i="38"/>
  <c r="B18" i="38"/>
  <c r="B8" i="38"/>
  <c r="B27" i="38"/>
  <c r="B17" i="38"/>
  <c r="B7" i="38"/>
  <c r="B26" i="38"/>
  <c r="B16" i="38"/>
  <c r="B6" i="38"/>
  <c r="N9" i="42" a="1"/>
  <c r="N9" i="42" s="1"/>
  <c r="Q7" i="19" a="1"/>
  <c r="Q7" i="19" s="1"/>
  <c r="N7" i="42" a="1"/>
  <c r="N7" i="42" s="1"/>
  <c r="N8" i="42" a="1"/>
  <c r="N8" i="42" s="1"/>
  <c r="Q8" i="19" a="1"/>
  <c r="Q8" i="19" s="1"/>
  <c r="BE9" i="19"/>
  <c r="BE8" i="19"/>
  <c r="X3" i="18"/>
  <c r="V3" i="18" s="1"/>
  <c r="X13" i="18"/>
  <c r="V13" i="18" s="1"/>
  <c r="X14" i="18"/>
  <c r="V14" i="18" s="1"/>
  <c r="X5" i="18"/>
  <c r="V5" i="18" s="1"/>
  <c r="X6" i="18"/>
  <c r="V6" i="18" s="1"/>
  <c r="X7" i="18"/>
  <c r="V7" i="18" s="1"/>
  <c r="F131" i="18" s="1"/>
  <c r="X9" i="18"/>
  <c r="V9" i="18" s="1"/>
  <c r="N129" i="18" s="1"/>
  <c r="X10" i="18"/>
  <c r="X11" i="18"/>
  <c r="V11" i="18" s="1"/>
  <c r="N131" i="18" s="1"/>
  <c r="X12" i="18"/>
  <c r="V12" i="18" s="1"/>
  <c r="B2" i="26"/>
  <c r="A3" i="42" s="1" a="1"/>
  <c r="A3" i="42" s="1"/>
  <c r="C4" i="37"/>
  <c r="C20" i="38"/>
  <c r="C10" i="38"/>
  <c r="C9" i="38"/>
  <c r="C30" i="38"/>
  <c r="C3" i="37"/>
  <c r="C29" i="38"/>
  <c r="C19" i="38"/>
  <c r="C2" i="37"/>
  <c r="C28" i="38"/>
  <c r="C18" i="38"/>
  <c r="C8" i="38"/>
  <c r="D5" i="37"/>
  <c r="C27" i="38"/>
  <c r="C17" i="38"/>
  <c r="C7" i="38"/>
  <c r="D4" i="37"/>
  <c r="C26" i="38"/>
  <c r="C16" i="38"/>
  <c r="C6" i="38"/>
  <c r="D3" i="37"/>
  <c r="C25" i="38"/>
  <c r="C15" i="38"/>
  <c r="C5" i="38"/>
  <c r="D2" i="37"/>
  <c r="C24" i="38"/>
  <c r="C14" i="38"/>
  <c r="C4" i="38"/>
  <c r="C23" i="38"/>
  <c r="C13" i="38"/>
  <c r="C3" i="38"/>
  <c r="C22" i="38"/>
  <c r="C12" i="38"/>
  <c r="C2" i="38"/>
  <c r="C5" i="37"/>
  <c r="C31" i="38"/>
  <c r="C21" i="38"/>
  <c r="C11" i="38"/>
  <c r="H11" i="9"/>
  <c r="H4" i="9"/>
  <c r="H5" i="9"/>
  <c r="H6" i="9"/>
  <c r="H16" i="13"/>
  <c r="H25" i="13"/>
  <c r="H34" i="13"/>
  <c r="H20" i="13"/>
  <c r="H39" i="13"/>
  <c r="H29" i="13"/>
  <c r="H19" i="13"/>
  <c r="H9" i="13"/>
  <c r="H26" i="13"/>
  <c r="H15" i="13"/>
  <c r="H24" i="13"/>
  <c r="H30" i="13"/>
  <c r="H10" i="13"/>
  <c r="H38" i="13"/>
  <c r="H28" i="13"/>
  <c r="H18" i="13"/>
  <c r="H8" i="13"/>
  <c r="H37" i="13"/>
  <c r="H17" i="13"/>
  <c r="H27" i="13"/>
  <c r="H7" i="13"/>
  <c r="H36" i="13"/>
  <c r="H6" i="13"/>
  <c r="H35" i="13"/>
  <c r="H14" i="13"/>
  <c r="H23" i="13"/>
  <c r="H32" i="13"/>
  <c r="H22" i="13"/>
  <c r="H12" i="13"/>
  <c r="H2" i="13"/>
  <c r="H5" i="13"/>
  <c r="H4" i="13"/>
  <c r="H33" i="13"/>
  <c r="H13" i="13"/>
  <c r="H31" i="13"/>
  <c r="H21" i="13"/>
  <c r="H20" i="11"/>
  <c r="H37" i="11"/>
  <c r="H34" i="11"/>
  <c r="H14" i="11"/>
  <c r="H33" i="11"/>
  <c r="H23" i="11"/>
  <c r="H13" i="11"/>
  <c r="H3" i="11"/>
  <c r="H27" i="11"/>
  <c r="H24" i="11"/>
  <c r="H32" i="11"/>
  <c r="H22" i="11"/>
  <c r="H12" i="11"/>
  <c r="H2" i="11"/>
  <c r="H31" i="11"/>
  <c r="H39" i="11"/>
  <c r="H29" i="11"/>
  <c r="H19" i="11"/>
  <c r="H9" i="11"/>
  <c r="H21" i="11"/>
  <c r="H38" i="11"/>
  <c r="H28" i="11"/>
  <c r="H18" i="11"/>
  <c r="H8" i="11"/>
  <c r="H7" i="11"/>
  <c r="H30" i="11"/>
  <c r="H6" i="11"/>
  <c r="H17" i="11"/>
  <c r="H36" i="11"/>
  <c r="H26" i="11"/>
  <c r="H16" i="11"/>
  <c r="H35" i="11"/>
  <c r="H25" i="11"/>
  <c r="H15" i="11"/>
  <c r="H10" i="11"/>
  <c r="H37" i="9"/>
  <c r="H7" i="9"/>
  <c r="H16" i="9"/>
  <c r="H15" i="9"/>
  <c r="H14" i="9"/>
  <c r="H33" i="9"/>
  <c r="H3" i="9"/>
  <c r="H30" i="9"/>
  <c r="H20" i="9"/>
  <c r="H10" i="9"/>
  <c r="H17" i="9"/>
  <c r="H26" i="9"/>
  <c r="H25" i="9"/>
  <c r="H34" i="9"/>
  <c r="H24" i="9"/>
  <c r="H13" i="9"/>
  <c r="H29" i="9"/>
  <c r="H19" i="9"/>
  <c r="H9" i="9"/>
  <c r="H38" i="9"/>
  <c r="H28" i="9"/>
  <c r="H18" i="9"/>
  <c r="H8" i="9"/>
  <c r="H27" i="9"/>
  <c r="H36" i="9"/>
  <c r="H35" i="9"/>
  <c r="H23" i="9"/>
  <c r="H32" i="9"/>
  <c r="H22" i="9"/>
  <c r="H12" i="9"/>
  <c r="H2" i="9"/>
  <c r="H31" i="9"/>
  <c r="H21" i="9"/>
  <c r="H27" i="6"/>
  <c r="H28" i="6"/>
  <c r="H37" i="6"/>
  <c r="H17" i="6"/>
  <c r="H7" i="6"/>
  <c r="H36" i="6"/>
  <c r="H26" i="6"/>
  <c r="H16" i="6"/>
  <c r="H6" i="6"/>
  <c r="H35" i="6"/>
  <c r="H25" i="6"/>
  <c r="H15" i="6"/>
  <c r="H5" i="6"/>
  <c r="H18" i="6"/>
  <c r="H34" i="6"/>
  <c r="H3" i="6"/>
  <c r="H31" i="6"/>
  <c r="H21" i="6"/>
  <c r="H11" i="6"/>
  <c r="H8" i="6"/>
  <c r="H14" i="6"/>
  <c r="H23" i="6"/>
  <c r="H32" i="6"/>
  <c r="H12" i="6"/>
  <c r="H30" i="6"/>
  <c r="H20" i="6"/>
  <c r="H10" i="6"/>
  <c r="H33" i="6"/>
  <c r="H22" i="6"/>
  <c r="H2" i="6"/>
  <c r="H29" i="6"/>
  <c r="H19" i="6"/>
  <c r="O14" i="15"/>
  <c r="M14" i="15" s="1"/>
  <c r="M6" i="15" s="1"/>
  <c r="S4" i="30" a="1"/>
  <c r="S4" i="30" s="1"/>
  <c r="R82" i="18"/>
  <c r="V61" i="18" s="1"/>
  <c r="O6" i="32" a="1"/>
  <c r="O6" i="32" s="1"/>
  <c r="O5" i="32" a="1"/>
  <c r="O5" i="32" s="1"/>
  <c r="F2" i="26"/>
  <c r="Q9" i="19" a="1"/>
  <c r="Q9" i="19" s="1"/>
  <c r="S3" i="30" a="1"/>
  <c r="S3" i="30" s="1"/>
  <c r="B28" i="22" a="1"/>
  <c r="B28" i="22" s="1"/>
  <c r="T6" i="32" a="1"/>
  <c r="T6" i="32" s="1"/>
  <c r="AA3" i="30" a="1"/>
  <c r="AA3" i="30" s="1"/>
  <c r="F5" i="37"/>
  <c r="T49" i="32"/>
  <c r="V49" i="32" s="1"/>
  <c r="T44" i="32"/>
  <c r="V44" i="32" s="1"/>
  <c r="T5" i="32" a="1"/>
  <c r="T5" i="32" s="1"/>
  <c r="T48" i="32"/>
  <c r="V48" i="32" s="1"/>
  <c r="T42" i="32"/>
  <c r="V42" i="32" s="1"/>
  <c r="T13" i="32"/>
  <c r="V13" i="32" s="1"/>
  <c r="T40" i="32"/>
  <c r="V40" i="32" s="1"/>
  <c r="T45" i="32"/>
  <c r="V45" i="32" s="1"/>
  <c r="T32" i="32"/>
  <c r="V32" i="32" s="1"/>
  <c r="T39" i="32"/>
  <c r="V39" i="32" s="1"/>
  <c r="T36" i="32"/>
  <c r="V36" i="32" s="1"/>
  <c r="T47" i="32"/>
  <c r="V47" i="32" s="1"/>
  <c r="T43" i="32"/>
  <c r="V43" i="32" s="1"/>
  <c r="T50" i="32"/>
  <c r="V50" i="32" s="1"/>
  <c r="T31" i="32"/>
  <c r="V31" i="32" s="1"/>
  <c r="T51" i="32"/>
  <c r="V51" i="32" s="1"/>
  <c r="AA112" i="30" a="1"/>
  <c r="AA112" i="30" s="1"/>
  <c r="AA73" i="30" a="1"/>
  <c r="AA73" i="30" s="1"/>
  <c r="T46" i="32"/>
  <c r="V46" i="32" s="1"/>
  <c r="AA129" i="30" a="1"/>
  <c r="AA129" i="30" s="1"/>
  <c r="T41" i="32"/>
  <c r="V41" i="32" s="1"/>
  <c r="T14" i="32"/>
  <c r="V14" i="32" s="1"/>
  <c r="T38" i="32"/>
  <c r="V38" i="32" s="1"/>
  <c r="T28" i="32"/>
  <c r="V28" i="32" s="1"/>
  <c r="T33" i="32"/>
  <c r="V33" i="32" s="1"/>
  <c r="AA16" i="30" a="1"/>
  <c r="AA16" i="30" s="1"/>
  <c r="AA103" i="30" a="1"/>
  <c r="AA103" i="30" s="1"/>
  <c r="W8" i="18"/>
  <c r="A2" i="32"/>
  <c r="P1" i="30"/>
  <c r="E98" i="18"/>
  <c r="O115" i="18"/>
  <c r="R79" i="18" s="1"/>
  <c r="R81" i="18"/>
  <c r="V47" i="18" s="1"/>
  <c r="G4" i="37"/>
  <c r="BE16" i="19" a="1"/>
  <c r="BE15" i="19" a="1"/>
  <c r="BE17" i="19" a="1"/>
  <c r="BE18" i="19" a="1"/>
  <c r="X8" i="18" a="1"/>
  <c r="D2" i="25"/>
  <c r="Q41" i="19" l="1"/>
  <c r="U46" i="36"/>
  <c r="G13" i="13"/>
  <c r="I36" i="36"/>
  <c r="I17" i="36"/>
  <c r="I29" i="36"/>
  <c r="I43" i="36"/>
  <c r="I21" i="36"/>
  <c r="I41" i="36"/>
  <c r="I15" i="36"/>
  <c r="I24" i="36"/>
  <c r="G8" i="13"/>
  <c r="G5" i="13"/>
  <c r="U47" i="36"/>
  <c r="U30" i="36"/>
  <c r="U45" i="36"/>
  <c r="U13" i="36"/>
  <c r="U6" i="36"/>
  <c r="U8" i="36"/>
  <c r="G29" i="13"/>
  <c r="G34" i="13"/>
  <c r="Q49" i="35"/>
  <c r="V49" i="35" s="1"/>
  <c r="U40" i="35"/>
  <c r="U35" i="35"/>
  <c r="U28" i="35"/>
  <c r="S49" i="35"/>
  <c r="X49" i="35" s="1"/>
  <c r="I28" i="11"/>
  <c r="G22" i="11"/>
  <c r="T49" i="35"/>
  <c r="Y49" i="35" s="1"/>
  <c r="G2" i="11"/>
  <c r="G39" i="11"/>
  <c r="U49" i="35"/>
  <c r="I49" i="35"/>
  <c r="I29" i="11"/>
  <c r="U41" i="35"/>
  <c r="I24" i="11"/>
  <c r="U44" i="35"/>
  <c r="U18" i="35"/>
  <c r="U36" i="35"/>
  <c r="I14" i="11"/>
  <c r="U38" i="35"/>
  <c r="U6" i="35"/>
  <c r="U22" i="35"/>
  <c r="U9" i="35"/>
  <c r="I35" i="11"/>
  <c r="U32" i="35"/>
  <c r="G26" i="11"/>
  <c r="I3" i="11"/>
  <c r="I30" i="35"/>
  <c r="I16" i="11"/>
  <c r="I15" i="11"/>
  <c r="I37" i="11"/>
  <c r="U13" i="35"/>
  <c r="U45" i="35"/>
  <c r="U43" i="35"/>
  <c r="U33" i="35"/>
  <c r="U46" i="35"/>
  <c r="U24" i="35"/>
  <c r="U20" i="35"/>
  <c r="U5" i="35"/>
  <c r="I6" i="11"/>
  <c r="I32" i="11"/>
  <c r="G20" i="11"/>
  <c r="G30" i="11"/>
  <c r="D128" i="30"/>
  <c r="I128" i="30" s="1"/>
  <c r="T129" i="30"/>
  <c r="AF129" i="30" s="1"/>
  <c r="T126" i="30"/>
  <c r="AF126" i="30" s="1"/>
  <c r="D127" i="30"/>
  <c r="O127" i="30" s="1"/>
  <c r="E34" i="19"/>
  <c r="G34" i="19"/>
  <c r="G24" i="19"/>
  <c r="E24" i="19"/>
  <c r="D14" i="32" s="1"/>
  <c r="T14" i="34"/>
  <c r="Y14" i="34" s="1"/>
  <c r="Q14" i="34"/>
  <c r="V14" i="34" s="1"/>
  <c r="R14" i="34"/>
  <c r="W14" i="34" s="1"/>
  <c r="S14" i="34"/>
  <c r="X14" i="34" s="1"/>
  <c r="Q13" i="34"/>
  <c r="V13" i="34" s="1"/>
  <c r="T13" i="34"/>
  <c r="Y13" i="34" s="1"/>
  <c r="R13" i="34"/>
  <c r="W13" i="34" s="1"/>
  <c r="S13" i="34"/>
  <c r="X13" i="34" s="1"/>
  <c r="S36" i="34"/>
  <c r="X36" i="34" s="1"/>
  <c r="T36" i="34"/>
  <c r="Y36" i="34" s="1"/>
  <c r="R36" i="34"/>
  <c r="W36" i="34" s="1"/>
  <c r="Q36" i="34"/>
  <c r="V36" i="34" s="1"/>
  <c r="Q39" i="34"/>
  <c r="V39" i="34" s="1"/>
  <c r="S39" i="34"/>
  <c r="X39" i="34" s="1"/>
  <c r="T39" i="34"/>
  <c r="Y39" i="34" s="1"/>
  <c r="R39" i="34"/>
  <c r="W39" i="34" s="1"/>
  <c r="R45" i="34"/>
  <c r="W45" i="34" s="1"/>
  <c r="T45" i="34"/>
  <c r="Y45" i="34" s="1"/>
  <c r="Q45" i="34"/>
  <c r="V45" i="34" s="1"/>
  <c r="S45" i="34"/>
  <c r="X45" i="34" s="1"/>
  <c r="Q34" i="34"/>
  <c r="V34" i="34" s="1"/>
  <c r="R34" i="34"/>
  <c r="W34" i="34" s="1"/>
  <c r="T34" i="34"/>
  <c r="Y34" i="34" s="1"/>
  <c r="S34" i="34"/>
  <c r="X34" i="34" s="1"/>
  <c r="Q46" i="34"/>
  <c r="V46" i="34" s="1"/>
  <c r="R46" i="34"/>
  <c r="W46" i="34" s="1"/>
  <c r="S46" i="34"/>
  <c r="X46" i="34" s="1"/>
  <c r="T46" i="34"/>
  <c r="Y46" i="34" s="1"/>
  <c r="U10" i="34"/>
  <c r="Q10" i="34"/>
  <c r="V10" i="34" s="1"/>
  <c r="R10" i="34"/>
  <c r="W10" i="34" s="1"/>
  <c r="T10" i="34"/>
  <c r="Y10" i="34" s="1"/>
  <c r="S10" i="34"/>
  <c r="X10" i="34" s="1"/>
  <c r="S24" i="34"/>
  <c r="X24" i="34" s="1"/>
  <c r="T24" i="34"/>
  <c r="Y24" i="34" s="1"/>
  <c r="R24" i="34"/>
  <c r="W24" i="34" s="1"/>
  <c r="Q24" i="34"/>
  <c r="V24" i="34" s="1"/>
  <c r="S21" i="34"/>
  <c r="X21" i="34" s="1"/>
  <c r="T21" i="34"/>
  <c r="Y21" i="34" s="1"/>
  <c r="R21" i="34"/>
  <c r="W21" i="34" s="1"/>
  <c r="Q21" i="34"/>
  <c r="V21" i="34" s="1"/>
  <c r="R27" i="34"/>
  <c r="W27" i="34" s="1"/>
  <c r="T27" i="34"/>
  <c r="Y27" i="34" s="1"/>
  <c r="Q27" i="34"/>
  <c r="V27" i="34" s="1"/>
  <c r="S27" i="34"/>
  <c r="X27" i="34" s="1"/>
  <c r="I27" i="7"/>
  <c r="S27" i="7"/>
  <c r="X27" i="7" s="1"/>
  <c r="T27" i="7"/>
  <c r="Y27" i="7" s="1"/>
  <c r="Q27" i="7"/>
  <c r="V27" i="7" s="1"/>
  <c r="R27" i="7"/>
  <c r="W27" i="7" s="1"/>
  <c r="U10" i="7"/>
  <c r="S10" i="7"/>
  <c r="X10" i="7" s="1"/>
  <c r="R10" i="7"/>
  <c r="W10" i="7" s="1"/>
  <c r="Q10" i="7"/>
  <c r="V10" i="7" s="1"/>
  <c r="T10" i="7"/>
  <c r="Y10" i="7" s="1"/>
  <c r="I14" i="7"/>
  <c r="S14" i="7"/>
  <c r="X14" i="7" s="1"/>
  <c r="T14" i="7"/>
  <c r="Y14" i="7" s="1"/>
  <c r="R14" i="7"/>
  <c r="W14" i="7" s="1"/>
  <c r="Q14" i="7"/>
  <c r="V14" i="7" s="1"/>
  <c r="I21" i="7"/>
  <c r="Q21" i="7"/>
  <c r="V21" i="7" s="1"/>
  <c r="T21" i="7"/>
  <c r="Y21" i="7" s="1"/>
  <c r="S21" i="7"/>
  <c r="X21" i="7" s="1"/>
  <c r="R21" i="7"/>
  <c r="W21" i="7" s="1"/>
  <c r="I13" i="7"/>
  <c r="Q13" i="7"/>
  <c r="V13" i="7" s="1"/>
  <c r="R13" i="7"/>
  <c r="W13" i="7" s="1"/>
  <c r="S13" i="7"/>
  <c r="X13" i="7" s="1"/>
  <c r="T13" i="7"/>
  <c r="Y13" i="7" s="1"/>
  <c r="U34" i="7"/>
  <c r="S34" i="7"/>
  <c r="X34" i="7" s="1"/>
  <c r="T34" i="7"/>
  <c r="Y34" i="7" s="1"/>
  <c r="Q34" i="7"/>
  <c r="V34" i="7" s="1"/>
  <c r="R34" i="7"/>
  <c r="W34" i="7" s="1"/>
  <c r="I24" i="7"/>
  <c r="Q24" i="7"/>
  <c r="V24" i="7" s="1"/>
  <c r="T24" i="7"/>
  <c r="Y24" i="7" s="1"/>
  <c r="R24" i="7"/>
  <c r="W24" i="7" s="1"/>
  <c r="S24" i="7"/>
  <c r="X24" i="7" s="1"/>
  <c r="U45" i="7"/>
  <c r="Q45" i="7"/>
  <c r="V45" i="7" s="1"/>
  <c r="R45" i="7"/>
  <c r="W45" i="7" s="1"/>
  <c r="T45" i="7"/>
  <c r="Y45" i="7" s="1"/>
  <c r="S45" i="7"/>
  <c r="X45" i="7" s="1"/>
  <c r="U36" i="7"/>
  <c r="R36" i="7"/>
  <c r="W36" i="7" s="1"/>
  <c r="S36" i="7"/>
  <c r="X36" i="7" s="1"/>
  <c r="T36" i="7"/>
  <c r="Y36" i="7" s="1"/>
  <c r="Q36" i="7"/>
  <c r="V36" i="7" s="1"/>
  <c r="U46" i="7"/>
  <c r="R46" i="7"/>
  <c r="W46" i="7" s="1"/>
  <c r="S46" i="7"/>
  <c r="X46" i="7" s="1"/>
  <c r="Q46" i="7"/>
  <c r="V46" i="7" s="1"/>
  <c r="T46" i="7"/>
  <c r="Y46" i="7" s="1"/>
  <c r="I39" i="7"/>
  <c r="T39" i="7"/>
  <c r="Y39" i="7" s="1"/>
  <c r="S39" i="7"/>
  <c r="X39" i="7" s="1"/>
  <c r="R39" i="7"/>
  <c r="W39" i="7" s="1"/>
  <c r="Q39" i="7"/>
  <c r="V39" i="7" s="1"/>
  <c r="G44" i="19"/>
  <c r="E44" i="19"/>
  <c r="BF54" i="19"/>
  <c r="BF23" i="19"/>
  <c r="G18" i="6"/>
  <c r="I19" i="6"/>
  <c r="I7" i="6"/>
  <c r="D125" i="30"/>
  <c r="O125" i="30" s="1"/>
  <c r="E33" i="19"/>
  <c r="G33" i="19"/>
  <c r="G23" i="19"/>
  <c r="G54" i="19"/>
  <c r="I9" i="6"/>
  <c r="I29" i="6"/>
  <c r="Q35" i="19"/>
  <c r="D101" i="30"/>
  <c r="K101" i="30" s="1"/>
  <c r="T42" i="30"/>
  <c r="Q39" i="19"/>
  <c r="D40" i="30"/>
  <c r="I40" i="30" s="1"/>
  <c r="D23" i="30"/>
  <c r="K23" i="30" s="1"/>
  <c r="T75" i="30"/>
  <c r="AF75" i="30" s="1"/>
  <c r="D21" i="30"/>
  <c r="M21" i="30" s="1"/>
  <c r="T120" i="30"/>
  <c r="AF120" i="30" s="1"/>
  <c r="Q38" i="19"/>
  <c r="D83" i="30"/>
  <c r="K83" i="30" s="1"/>
  <c r="Q25" i="19"/>
  <c r="Q36" i="19"/>
  <c r="Q47" i="19"/>
  <c r="D59" i="30"/>
  <c r="M59" i="30" s="1"/>
  <c r="D92" i="30"/>
  <c r="M92" i="30" s="1"/>
  <c r="D113" i="30"/>
  <c r="N113" i="30" s="1"/>
  <c r="Q32" i="19"/>
  <c r="D56" i="30"/>
  <c r="O56" i="30" s="1"/>
  <c r="Y56" i="30" s="1"/>
  <c r="Q43" i="19"/>
  <c r="D77" i="30"/>
  <c r="K77" i="30" s="1"/>
  <c r="Q46" i="19"/>
  <c r="Q57" i="19"/>
  <c r="D91" i="30"/>
  <c r="O91" i="30" s="1"/>
  <c r="T102" i="30"/>
  <c r="AF102" i="30" s="1"/>
  <c r="T123" i="30"/>
  <c r="AF123" i="30" s="1"/>
  <c r="Q31" i="19"/>
  <c r="Q42" i="19"/>
  <c r="Q53" i="19"/>
  <c r="T87" i="30"/>
  <c r="Q45" i="19"/>
  <c r="Q56" i="19"/>
  <c r="T69" i="30"/>
  <c r="AF69" i="30" s="1"/>
  <c r="D12" i="30"/>
  <c r="M12" i="30" s="1"/>
  <c r="D33" i="30"/>
  <c r="K33" i="30" s="1"/>
  <c r="Q30" i="19"/>
  <c r="D54" i="30"/>
  <c r="K54" i="30" s="1"/>
  <c r="D65" i="30"/>
  <c r="K65" i="30" s="1"/>
  <c r="L65" i="30" s="1"/>
  <c r="Q52" i="19"/>
  <c r="D79" i="30"/>
  <c r="K79" i="30" s="1"/>
  <c r="Q55" i="19"/>
  <c r="D90" i="30"/>
  <c r="O90" i="30" s="1"/>
  <c r="D111" i="30"/>
  <c r="N111" i="30" s="1"/>
  <c r="D43" i="30"/>
  <c r="O43" i="30" s="1"/>
  <c r="Q40" i="19"/>
  <c r="Q51" i="19"/>
  <c r="D86" i="30"/>
  <c r="M86" i="30" s="1"/>
  <c r="D20" i="30"/>
  <c r="M20" i="30" s="1"/>
  <c r="D107" i="30"/>
  <c r="N107" i="30" s="1"/>
  <c r="T78" i="30"/>
  <c r="T39" i="30"/>
  <c r="Q29" i="19"/>
  <c r="Q50" i="19"/>
  <c r="D19" i="30"/>
  <c r="K19" i="30" s="1"/>
  <c r="L19" i="30" s="1"/>
  <c r="D96" i="30"/>
  <c r="M96" i="30" s="1"/>
  <c r="D17" i="30"/>
  <c r="M17" i="30" s="1"/>
  <c r="D117" i="30"/>
  <c r="M117" i="30" s="1"/>
  <c r="T63" i="30"/>
  <c r="T84" i="30"/>
  <c r="AF84" i="30" s="1"/>
  <c r="D49" i="30"/>
  <c r="N49" i="30" s="1"/>
  <c r="D95" i="30"/>
  <c r="N95" i="30" s="1"/>
  <c r="D98" i="30"/>
  <c r="N98" i="30" s="1"/>
  <c r="D41" i="30"/>
  <c r="M41" i="30" s="1"/>
  <c r="Q28" i="19"/>
  <c r="Q49" i="19"/>
  <c r="D94" i="30"/>
  <c r="O94" i="30" s="1"/>
  <c r="D30" i="30"/>
  <c r="K30" i="30" s="1"/>
  <c r="D105" i="30"/>
  <c r="K105" i="30" s="1"/>
  <c r="L105" i="30" s="1"/>
  <c r="D16" i="30"/>
  <c r="M16" i="30" s="1"/>
  <c r="D116" i="30"/>
  <c r="M116" i="30" s="1"/>
  <c r="D37" i="30"/>
  <c r="M37" i="30" s="1"/>
  <c r="Q24" i="19"/>
  <c r="Q59" i="19"/>
  <c r="D15" i="30"/>
  <c r="K15" i="30" s="1"/>
  <c r="L15" i="30" s="1"/>
  <c r="D47" i="30"/>
  <c r="O47" i="30" s="1"/>
  <c r="Y47" i="30" s="1"/>
  <c r="Q34" i="19"/>
  <c r="T99" i="30"/>
  <c r="AF99" i="30" s="1"/>
  <c r="D31" i="30"/>
  <c r="K31" i="30" s="1"/>
  <c r="L31" i="30" s="1"/>
  <c r="D108" i="30"/>
  <c r="O108" i="30" s="1"/>
  <c r="D119" i="30"/>
  <c r="K119" i="30" s="1"/>
  <c r="D70" i="30"/>
  <c r="N70" i="30" s="1"/>
  <c r="D115" i="30"/>
  <c r="O115" i="30" s="1"/>
  <c r="D18" i="30"/>
  <c r="M18" i="30" s="1"/>
  <c r="X18" i="30" s="1"/>
  <c r="Q27" i="19"/>
  <c r="D61" i="30"/>
  <c r="N61" i="30" s="1"/>
  <c r="X61" i="30" s="1"/>
  <c r="Q48" i="19"/>
  <c r="T72" i="30"/>
  <c r="AF72" i="30" s="1"/>
  <c r="D89" i="30"/>
  <c r="N89" i="30" s="1"/>
  <c r="D93" i="30"/>
  <c r="N93" i="30" s="1"/>
  <c r="D14" i="30"/>
  <c r="M14" i="30" s="1"/>
  <c r="T114" i="30"/>
  <c r="AF114" i="30" s="1"/>
  <c r="Q23" i="19"/>
  <c r="T57" i="30"/>
  <c r="Q44" i="19"/>
  <c r="Q26" i="19"/>
  <c r="Q37" i="19"/>
  <c r="Q58" i="19"/>
  <c r="T60" i="30"/>
  <c r="AF60" i="30" s="1"/>
  <c r="D103" i="30"/>
  <c r="O103" i="30" s="1"/>
  <c r="T24" i="30"/>
  <c r="Q22" i="19"/>
  <c r="D46" i="30"/>
  <c r="N46" i="30" s="1"/>
  <c r="V46" i="30" s="1"/>
  <c r="Q33" i="19"/>
  <c r="D67" i="30"/>
  <c r="M67" i="30" s="1"/>
  <c r="Q54" i="19"/>
  <c r="BF32" i="19"/>
  <c r="E43" i="19"/>
  <c r="BF43" i="19"/>
  <c r="G43" i="19"/>
  <c r="G32" i="19"/>
  <c r="BF47" i="19"/>
  <c r="C56" i="30"/>
  <c r="E32" i="19"/>
  <c r="D45" i="30"/>
  <c r="N45" i="30" s="1"/>
  <c r="D34" i="30"/>
  <c r="O34" i="30" s="1"/>
  <c r="G61" i="19"/>
  <c r="E61" i="19"/>
  <c r="T15" i="30"/>
  <c r="AF15" i="30" s="1"/>
  <c r="BF50" i="19"/>
  <c r="D126" i="30"/>
  <c r="K126" i="30" s="1"/>
  <c r="C126" i="30"/>
  <c r="C15" i="30"/>
  <c r="BF37" i="19"/>
  <c r="C115" i="30"/>
  <c r="G50" i="19"/>
  <c r="BF29" i="19"/>
  <c r="E50" i="19"/>
  <c r="C41" i="16" s="1"/>
  <c r="BF57" i="19"/>
  <c r="BF46" i="19"/>
  <c r="C40" i="30"/>
  <c r="BF39" i="19"/>
  <c r="E39" i="19"/>
  <c r="BF49" i="19"/>
  <c r="G49" i="19"/>
  <c r="E58" i="19"/>
  <c r="G58" i="19"/>
  <c r="G37" i="19"/>
  <c r="E49" i="19"/>
  <c r="D57" i="30"/>
  <c r="O57" i="30" s="1"/>
  <c r="D106" i="30"/>
  <c r="O106" i="30" s="1"/>
  <c r="C116" i="30"/>
  <c r="T30" i="30"/>
  <c r="C117" i="30"/>
  <c r="D63" i="30"/>
  <c r="M63" i="30" s="1"/>
  <c r="C57" i="30"/>
  <c r="C30" i="30"/>
  <c r="D26" i="30"/>
  <c r="M26" i="30" s="1"/>
  <c r="D74" i="30"/>
  <c r="K74" i="30" s="1"/>
  <c r="L74" i="30" s="1"/>
  <c r="D73" i="30"/>
  <c r="M73" i="30" s="1"/>
  <c r="D27" i="30"/>
  <c r="O27" i="30" s="1"/>
  <c r="D62" i="30"/>
  <c r="N62" i="30" s="1"/>
  <c r="BF22" i="19"/>
  <c r="E48" i="19"/>
  <c r="C103" i="30"/>
  <c r="BF56" i="19"/>
  <c r="G39" i="19"/>
  <c r="E46" i="19"/>
  <c r="C37" i="16" s="1"/>
  <c r="G46" i="19"/>
  <c r="D69" i="30"/>
  <c r="M69" i="30" s="1"/>
  <c r="E22" i="19"/>
  <c r="G22" i="19"/>
  <c r="E37" i="19"/>
  <c r="BF42" i="19"/>
  <c r="G47" i="19"/>
  <c r="G48" i="19"/>
  <c r="T105" i="30"/>
  <c r="AF105" i="30" s="1"/>
  <c r="D109" i="30"/>
  <c r="O109" i="30" s="1"/>
  <c r="C20" i="30"/>
  <c r="C61" i="19"/>
  <c r="P61" i="19" s="1"/>
  <c r="D53" i="30"/>
  <c r="K53" i="30" s="1"/>
  <c r="L53" i="30" s="1"/>
  <c r="BF35" i="19"/>
  <c r="G29" i="19"/>
  <c r="BF53" i="19"/>
  <c r="BF31" i="19"/>
  <c r="E57" i="19"/>
  <c r="E56" i="19"/>
  <c r="C98" i="30"/>
  <c r="C72" i="30"/>
  <c r="C33" i="30"/>
  <c r="E40" i="19"/>
  <c r="G62" i="19"/>
  <c r="C54" i="30"/>
  <c r="D68" i="30"/>
  <c r="M68" i="30" s="1"/>
  <c r="E47" i="19"/>
  <c r="BF51" i="19"/>
  <c r="BF40" i="19"/>
  <c r="E62" i="19"/>
  <c r="D44" i="30"/>
  <c r="M44" i="30" s="1"/>
  <c r="E42" i="19"/>
  <c r="BF25" i="19"/>
  <c r="T66" i="30"/>
  <c r="G41" i="19"/>
  <c r="E35" i="19"/>
  <c r="BF30" i="19"/>
  <c r="E51" i="19"/>
  <c r="G25" i="19"/>
  <c r="T51" i="30"/>
  <c r="D97" i="30"/>
  <c r="K97" i="30" s="1"/>
  <c r="L97" i="30" s="1"/>
  <c r="D76" i="30"/>
  <c r="N76" i="30" s="1"/>
  <c r="Z76" i="30" s="1"/>
  <c r="G30" i="19"/>
  <c r="BF27" i="19"/>
  <c r="BF41" i="19"/>
  <c r="T54" i="30"/>
  <c r="C42" i="30"/>
  <c r="BF52" i="19"/>
  <c r="E25" i="19"/>
  <c r="D15" i="32" s="1"/>
  <c r="C62" i="19"/>
  <c r="P62" i="19" s="1"/>
  <c r="E28" i="19"/>
  <c r="BF45" i="19"/>
  <c r="BF55" i="19"/>
  <c r="T33" i="30"/>
  <c r="E30" i="19"/>
  <c r="G45" i="19"/>
  <c r="BF26" i="19"/>
  <c r="BF28" i="19"/>
  <c r="E27" i="19"/>
  <c r="G27" i="19"/>
  <c r="G36" i="19"/>
  <c r="BF62" i="19"/>
  <c r="E36" i="19"/>
  <c r="G31" i="19"/>
  <c r="E31" i="19"/>
  <c r="G42" i="19"/>
  <c r="C120" i="30"/>
  <c r="C23" i="30"/>
  <c r="BF36" i="19"/>
  <c r="G53" i="19"/>
  <c r="G51" i="19"/>
  <c r="G40" i="19"/>
  <c r="G28" i="19"/>
  <c r="D32" i="30"/>
  <c r="O32" i="30" s="1"/>
  <c r="Z32" i="30" s="1"/>
  <c r="D42" i="30"/>
  <c r="K42" i="30" s="1"/>
  <c r="G52" i="19"/>
  <c r="D100" i="30"/>
  <c r="K100" i="30" s="1"/>
  <c r="L100" i="30" s="1"/>
  <c r="C119" i="30"/>
  <c r="E53" i="19"/>
  <c r="C75" i="30"/>
  <c r="C41" i="30"/>
  <c r="D130" i="30"/>
  <c r="N130" i="30" s="1"/>
  <c r="D84" i="30"/>
  <c r="O84" i="30" s="1"/>
  <c r="D124" i="30"/>
  <c r="C79" i="30"/>
  <c r="G55" i="19"/>
  <c r="T90" i="30"/>
  <c r="AF90" i="30" s="1"/>
  <c r="D75" i="30"/>
  <c r="K75" i="30" s="1"/>
  <c r="E59" i="19"/>
  <c r="D49" i="32" s="1"/>
  <c r="E55" i="19"/>
  <c r="BF59" i="19"/>
  <c r="G59" i="19"/>
  <c r="E60" i="19"/>
  <c r="C51" i="16" s="1"/>
  <c r="C111" i="30"/>
  <c r="C84" i="30"/>
  <c r="C31" i="30"/>
  <c r="C60" i="19"/>
  <c r="P60" i="19" s="1"/>
  <c r="BF58" i="19"/>
  <c r="G60" i="19"/>
  <c r="E52" i="19"/>
  <c r="C127" i="30"/>
  <c r="D118" i="30"/>
  <c r="M118" i="30" s="1"/>
  <c r="T117" i="30"/>
  <c r="AF117" i="30" s="1"/>
  <c r="T111" i="30"/>
  <c r="AF111" i="30" s="1"/>
  <c r="C107" i="30"/>
  <c r="D102" i="30"/>
  <c r="M102" i="30" s="1"/>
  <c r="Y102" i="30" s="1"/>
  <c r="C102" i="30"/>
  <c r="C101" i="30"/>
  <c r="C99" i="30"/>
  <c r="D99" i="30"/>
  <c r="M99" i="30" s="1"/>
  <c r="C95" i="30"/>
  <c r="C94" i="30"/>
  <c r="T93" i="30"/>
  <c r="AF93" i="30" s="1"/>
  <c r="C93" i="30"/>
  <c r="C89" i="30"/>
  <c r="D88" i="30"/>
  <c r="K88" i="30" s="1"/>
  <c r="C87" i="30"/>
  <c r="D87" i="30"/>
  <c r="K87" i="30" s="1"/>
  <c r="D85" i="30"/>
  <c r="M85" i="30" s="1"/>
  <c r="C83" i="30"/>
  <c r="D72" i="30"/>
  <c r="N72" i="30" s="1"/>
  <c r="D71" i="30"/>
  <c r="M71" i="30" s="1"/>
  <c r="D64" i="30"/>
  <c r="N64" i="30" s="1"/>
  <c r="C60" i="30"/>
  <c r="C47" i="30"/>
  <c r="C46" i="30"/>
  <c r="C43" i="30"/>
  <c r="D38" i="30"/>
  <c r="K38" i="30" s="1"/>
  <c r="L38" i="30" s="1"/>
  <c r="D36" i="30"/>
  <c r="K36" i="30" s="1"/>
  <c r="D35" i="30"/>
  <c r="K35" i="30" s="1"/>
  <c r="L35" i="30" s="1"/>
  <c r="D29" i="30"/>
  <c r="M29" i="30" s="1"/>
  <c r="C17" i="30"/>
  <c r="C14" i="30"/>
  <c r="C123" i="30"/>
  <c r="C129" i="30"/>
  <c r="C77" i="30"/>
  <c r="T45" i="30"/>
  <c r="D80" i="30"/>
  <c r="C18" i="30"/>
  <c r="C49" i="30"/>
  <c r="D122" i="30"/>
  <c r="C92" i="30"/>
  <c r="D114" i="30"/>
  <c r="M114" i="30" s="1"/>
  <c r="D112" i="30"/>
  <c r="M112" i="30" s="1"/>
  <c r="C63" i="30"/>
  <c r="D55" i="30"/>
  <c r="N55" i="30" s="1"/>
  <c r="C70" i="30"/>
  <c r="D121" i="30"/>
  <c r="T27" i="30"/>
  <c r="C114" i="30"/>
  <c r="D129" i="30"/>
  <c r="O129" i="30" s="1"/>
  <c r="D104" i="30"/>
  <c r="K104" i="30" s="1"/>
  <c r="L104" i="30" s="1"/>
  <c r="T36" i="30"/>
  <c r="C24" i="30"/>
  <c r="D82" i="30"/>
  <c r="N82" i="30" s="1"/>
  <c r="D123" i="30"/>
  <c r="M123" i="30" s="1"/>
  <c r="C128" i="30"/>
  <c r="C59" i="30"/>
  <c r="T21" i="30"/>
  <c r="G57" i="19"/>
  <c r="E41" i="19"/>
  <c r="BF38" i="19"/>
  <c r="E38" i="19"/>
  <c r="G38" i="19"/>
  <c r="T48" i="30"/>
  <c r="C21" i="30"/>
  <c r="C12" i="30"/>
  <c r="C39" i="30"/>
  <c r="C90" i="30"/>
  <c r="D24" i="30"/>
  <c r="D120" i="30"/>
  <c r="C65" i="30"/>
  <c r="T81" i="30"/>
  <c r="D66" i="30"/>
  <c r="D58" i="30"/>
  <c r="K58" i="30" s="1"/>
  <c r="L58" i="30" s="1"/>
  <c r="T108" i="30"/>
  <c r="AF108" i="30" s="1"/>
  <c r="C113" i="30"/>
  <c r="D51" i="30"/>
  <c r="D39" i="30"/>
  <c r="O39" i="30" s="1"/>
  <c r="G56" i="19"/>
  <c r="G35" i="19"/>
  <c r="C86" i="30"/>
  <c r="D13" i="30"/>
  <c r="D81" i="30"/>
  <c r="T12" i="30"/>
  <c r="C108" i="30"/>
  <c r="D48" i="30"/>
  <c r="D78" i="30"/>
  <c r="D22" i="30"/>
  <c r="D110" i="30"/>
  <c r="E45" i="19"/>
  <c r="C36" i="16" s="1"/>
  <c r="G26" i="19"/>
  <c r="C61" i="30"/>
  <c r="T96" i="30"/>
  <c r="AF96" i="30" s="1"/>
  <c r="C96" i="30"/>
  <c r="D28" i="30"/>
  <c r="K28" i="30" s="1"/>
  <c r="D50" i="30"/>
  <c r="N50" i="30" s="1"/>
  <c r="C16" i="30"/>
  <c r="C78" i="30"/>
  <c r="C91" i="30"/>
  <c r="D25" i="30"/>
  <c r="M25" i="30" s="1"/>
  <c r="D60" i="30"/>
  <c r="I60" i="30" s="1"/>
  <c r="D52" i="30"/>
  <c r="O52" i="30" s="1"/>
  <c r="C19" i="30"/>
  <c r="T18" i="30"/>
  <c r="AF18" i="30" s="1"/>
  <c r="C50" i="30"/>
  <c r="C105" i="30"/>
  <c r="D131" i="30"/>
  <c r="I131" i="30" s="1"/>
  <c r="E26" i="19"/>
  <c r="C69" i="30"/>
  <c r="U13" i="7"/>
  <c r="U43" i="7"/>
  <c r="I36" i="7"/>
  <c r="U14" i="7"/>
  <c r="U23" i="7"/>
  <c r="T43" i="7"/>
  <c r="Y43" i="7" s="1"/>
  <c r="U22" i="7"/>
  <c r="I26" i="7"/>
  <c r="U24" i="7"/>
  <c r="P18" i="33"/>
  <c r="M18" i="33" s="1" a="1"/>
  <c r="M18" i="33" s="1"/>
  <c r="O18" i="33"/>
  <c r="N19" i="33" s="1"/>
  <c r="J18" i="33"/>
  <c r="I19" i="33" s="1"/>
  <c r="K18" i="33"/>
  <c r="H18" i="33" s="1" a="1"/>
  <c r="H18" i="33" s="1"/>
  <c r="F129" i="18"/>
  <c r="F130" i="18"/>
  <c r="E2" i="26"/>
  <c r="A2" i="26" s="1"/>
  <c r="D2" i="26"/>
  <c r="C27" i="33"/>
  <c r="BE16" i="19"/>
  <c r="BC16" i="19" s="1"/>
  <c r="AN20" i="19" s="1"/>
  <c r="BE18" i="19"/>
  <c r="BC18" i="19" s="1"/>
  <c r="AR20" i="19" s="1"/>
  <c r="BE15" i="19"/>
  <c r="BC15" i="19" s="1"/>
  <c r="AL20" i="19" s="1"/>
  <c r="BE17" i="19"/>
  <c r="BC17" i="19" s="1"/>
  <c r="AP20" i="19" s="1"/>
  <c r="Q144" i="30"/>
  <c r="A27" i="33" s="1"/>
  <c r="O4" i="32"/>
  <c r="S2" i="30"/>
  <c r="I30" i="9"/>
  <c r="I21" i="9"/>
  <c r="I10" i="9"/>
  <c r="C30" i="19" s="1"/>
  <c r="P30" i="19" s="1"/>
  <c r="I10" i="7"/>
  <c r="I43" i="7"/>
  <c r="Y14" i="19"/>
  <c r="BC8" i="19"/>
  <c r="AQ8" i="19" s="1"/>
  <c r="G2" i="9"/>
  <c r="I18" i="9"/>
  <c r="I22" i="9"/>
  <c r="I12" i="9"/>
  <c r="I14" i="9"/>
  <c r="I31" i="6"/>
  <c r="I16" i="7"/>
  <c r="I8" i="6"/>
  <c r="U11" i="7"/>
  <c r="U44" i="7"/>
  <c r="I47" i="7"/>
  <c r="I37" i="6"/>
  <c r="U26" i="7"/>
  <c r="U38" i="7"/>
  <c r="U40" i="7"/>
  <c r="R15" i="7"/>
  <c r="W15" i="7" s="1"/>
  <c r="I15" i="7"/>
  <c r="Q15" i="7"/>
  <c r="V15" i="7" s="1"/>
  <c r="R26" i="7"/>
  <c r="W26" i="7" s="1"/>
  <c r="U39" i="7"/>
  <c r="Q26" i="7"/>
  <c r="V26" i="7" s="1"/>
  <c r="I20" i="6"/>
  <c r="S26" i="7"/>
  <c r="X26" i="7" s="1"/>
  <c r="I21" i="6"/>
  <c r="I13" i="6"/>
  <c r="I30" i="6"/>
  <c r="C50" i="19" s="1"/>
  <c r="P50" i="19" s="1"/>
  <c r="U27" i="7"/>
  <c r="I17" i="7"/>
  <c r="S5" i="7"/>
  <c r="X5" i="7" s="1"/>
  <c r="I3" i="6"/>
  <c r="I6" i="7"/>
  <c r="R5" i="7"/>
  <c r="W5" i="7" s="1"/>
  <c r="I38" i="6"/>
  <c r="Q43" i="7"/>
  <c r="V43" i="7" s="1"/>
  <c r="I36" i="6"/>
  <c r="I32" i="6"/>
  <c r="S43" i="7"/>
  <c r="X43" i="7" s="1"/>
  <c r="I46" i="7"/>
  <c r="G26" i="6"/>
  <c r="R33" i="7"/>
  <c r="W33" i="7" s="1"/>
  <c r="Q18" i="7"/>
  <c r="V18" i="7" s="1"/>
  <c r="I16" i="6"/>
  <c r="C36" i="19" s="1"/>
  <c r="P36" i="19" s="1"/>
  <c r="S15" i="7"/>
  <c r="X15" i="7" s="1"/>
  <c r="G14" i="6"/>
  <c r="G25" i="6"/>
  <c r="U18" i="7"/>
  <c r="U47" i="7"/>
  <c r="U21" i="7"/>
  <c r="S18" i="7"/>
  <c r="X18" i="7" s="1"/>
  <c r="R18" i="7"/>
  <c r="W18" i="7" s="1"/>
  <c r="I18" i="7"/>
  <c r="T32" i="7"/>
  <c r="Y32" i="7" s="1"/>
  <c r="G31" i="6"/>
  <c r="I5" i="7"/>
  <c r="S32" i="7"/>
  <c r="X32" i="7" s="1"/>
  <c r="I2" i="6"/>
  <c r="I35" i="7"/>
  <c r="Q5" i="7"/>
  <c r="V5" i="7" s="1"/>
  <c r="G4" i="6"/>
  <c r="U32" i="7"/>
  <c r="U41" i="7"/>
  <c r="Q32" i="7"/>
  <c r="V32" i="7" s="1"/>
  <c r="T33" i="7"/>
  <c r="Y33" i="7" s="1"/>
  <c r="I33" i="7"/>
  <c r="G7" i="6"/>
  <c r="I34" i="7"/>
  <c r="I5" i="6"/>
  <c r="U9" i="7"/>
  <c r="I15" i="6"/>
  <c r="Q8" i="7"/>
  <c r="V8" i="7" s="1"/>
  <c r="U28" i="7"/>
  <c r="G33" i="6"/>
  <c r="S8" i="7"/>
  <c r="X8" i="7" s="1"/>
  <c r="I25" i="6"/>
  <c r="C45" i="19" s="1"/>
  <c r="P45" i="19" s="1"/>
  <c r="I45" i="7"/>
  <c r="Q33" i="7"/>
  <c r="V33" i="7" s="1"/>
  <c r="Q30" i="7"/>
  <c r="V30" i="7" s="1"/>
  <c r="G23" i="6"/>
  <c r="I33" i="6"/>
  <c r="C53" i="19" s="1"/>
  <c r="P53" i="19" s="1"/>
  <c r="I8" i="7"/>
  <c r="T8" i="7"/>
  <c r="Y8" i="7" s="1"/>
  <c r="S9" i="7"/>
  <c r="X9" i="7" s="1"/>
  <c r="I6" i="6"/>
  <c r="Q9" i="7"/>
  <c r="V9" i="7" s="1"/>
  <c r="R8" i="7"/>
  <c r="W8" i="7" s="1"/>
  <c r="R30" i="7"/>
  <c r="W30" i="7" s="1"/>
  <c r="R47" i="7"/>
  <c r="W47" i="7" s="1"/>
  <c r="T5" i="7"/>
  <c r="Y5" i="7" s="1"/>
  <c r="I11" i="6"/>
  <c r="U15" i="7"/>
  <c r="U35" i="7"/>
  <c r="I32" i="7"/>
  <c r="S29" i="7"/>
  <c r="X29" i="7" s="1"/>
  <c r="U29" i="7"/>
  <c r="S47" i="7"/>
  <c r="X47" i="7" s="1"/>
  <c r="S30" i="7"/>
  <c r="X30" i="7" s="1"/>
  <c r="I29" i="7"/>
  <c r="T20" i="7"/>
  <c r="Y20" i="7" s="1"/>
  <c r="S35" i="7"/>
  <c r="X35" i="7" s="1"/>
  <c r="R29" i="7"/>
  <c r="W29" i="7" s="1"/>
  <c r="Q20" i="7"/>
  <c r="V20" i="7" s="1"/>
  <c r="D49" i="7"/>
  <c r="D49" i="34"/>
  <c r="I24" i="6"/>
  <c r="T35" i="7"/>
  <c r="Y35" i="7" s="1"/>
  <c r="R20" i="7"/>
  <c r="W20" i="7" s="1"/>
  <c r="I9" i="7"/>
  <c r="R9" i="7"/>
  <c r="W9" i="7" s="1"/>
  <c r="T29" i="7"/>
  <c r="Y29" i="7" s="1"/>
  <c r="U30" i="7"/>
  <c r="U20" i="7"/>
  <c r="I7" i="7"/>
  <c r="I30" i="7"/>
  <c r="U33" i="7"/>
  <c r="I20" i="7"/>
  <c r="T47" i="7"/>
  <c r="Y47" i="7" s="1"/>
  <c r="R35" i="7"/>
  <c r="W35" i="7" s="1"/>
  <c r="G6" i="6"/>
  <c r="I18" i="6"/>
  <c r="G36" i="6"/>
  <c r="G38" i="6"/>
  <c r="G30" i="6"/>
  <c r="G8" i="6"/>
  <c r="G3" i="6"/>
  <c r="G9" i="6"/>
  <c r="G11" i="6"/>
  <c r="G21" i="6"/>
  <c r="G15" i="6"/>
  <c r="I23" i="6"/>
  <c r="M26" i="6"/>
  <c r="L26" i="6"/>
  <c r="K26" i="6"/>
  <c r="J26" i="6"/>
  <c r="L8" i="6"/>
  <c r="K8" i="6"/>
  <c r="M8" i="6"/>
  <c r="J8" i="6"/>
  <c r="J22" i="6"/>
  <c r="K22" i="6"/>
  <c r="M22" i="6"/>
  <c r="L22" i="6"/>
  <c r="K10" i="6"/>
  <c r="J10" i="6"/>
  <c r="M10" i="6"/>
  <c r="L10" i="6"/>
  <c r="M16" i="6"/>
  <c r="J16" i="6"/>
  <c r="L16" i="6"/>
  <c r="K16" i="6"/>
  <c r="L34" i="6"/>
  <c r="K34" i="6"/>
  <c r="M34" i="6"/>
  <c r="J34" i="6"/>
  <c r="J12" i="6"/>
  <c r="L12" i="6"/>
  <c r="K12" i="6"/>
  <c r="M12" i="6"/>
  <c r="L27" i="6"/>
  <c r="J27" i="6"/>
  <c r="K27" i="6"/>
  <c r="M27" i="6"/>
  <c r="G16" i="6"/>
  <c r="M6" i="6"/>
  <c r="K6" i="6"/>
  <c r="L6" i="6"/>
  <c r="J6" i="6"/>
  <c r="L24" i="6"/>
  <c r="K24" i="6"/>
  <c r="M24" i="6"/>
  <c r="J24" i="6"/>
  <c r="J2" i="6"/>
  <c r="M2" i="6"/>
  <c r="K2" i="6"/>
  <c r="L2" i="6"/>
  <c r="L7" i="6"/>
  <c r="K7" i="6"/>
  <c r="J7" i="6"/>
  <c r="M7" i="6"/>
  <c r="I34" i="6"/>
  <c r="I22" i="6"/>
  <c r="C42" i="19" s="1"/>
  <c r="P42" i="19" s="1"/>
  <c r="L28" i="6"/>
  <c r="J28" i="6"/>
  <c r="M28" i="6"/>
  <c r="K28" i="6"/>
  <c r="J14" i="6"/>
  <c r="K14" i="6"/>
  <c r="L14" i="6"/>
  <c r="M14" i="6"/>
  <c r="L37" i="6"/>
  <c r="M37" i="6"/>
  <c r="J37" i="6"/>
  <c r="K37" i="6"/>
  <c r="I12" i="6"/>
  <c r="I27" i="6"/>
  <c r="M35" i="6"/>
  <c r="L35" i="6"/>
  <c r="K35" i="6"/>
  <c r="J35" i="6"/>
  <c r="J4" i="6"/>
  <c r="L4" i="6"/>
  <c r="K4" i="6"/>
  <c r="M4" i="6"/>
  <c r="L17" i="6"/>
  <c r="K17" i="6"/>
  <c r="J17" i="6"/>
  <c r="M17" i="6"/>
  <c r="K29" i="6"/>
  <c r="L29" i="6"/>
  <c r="M29" i="6"/>
  <c r="J29" i="6"/>
  <c r="I14" i="6"/>
  <c r="I17" i="6"/>
  <c r="M25" i="6"/>
  <c r="K25" i="6"/>
  <c r="J25" i="6"/>
  <c r="L25" i="6"/>
  <c r="J33" i="6"/>
  <c r="M33" i="6"/>
  <c r="L33" i="6"/>
  <c r="K33" i="6"/>
  <c r="J31" i="6"/>
  <c r="L31" i="6"/>
  <c r="K31" i="6"/>
  <c r="M31" i="6"/>
  <c r="K19" i="6"/>
  <c r="L19" i="6"/>
  <c r="J19" i="6"/>
  <c r="M19" i="6"/>
  <c r="G35" i="6"/>
  <c r="I4" i="6"/>
  <c r="M15" i="6"/>
  <c r="K15" i="6"/>
  <c r="J15" i="6"/>
  <c r="L15" i="6"/>
  <c r="J23" i="6"/>
  <c r="M23" i="6"/>
  <c r="K23" i="6"/>
  <c r="L23" i="6"/>
  <c r="J21" i="6"/>
  <c r="M21" i="6"/>
  <c r="L21" i="6"/>
  <c r="K21" i="6"/>
  <c r="K9" i="6"/>
  <c r="M9" i="6"/>
  <c r="L9" i="6"/>
  <c r="J9" i="6"/>
  <c r="M5" i="6"/>
  <c r="L5" i="6"/>
  <c r="K5" i="6"/>
  <c r="J5" i="6"/>
  <c r="J13" i="6"/>
  <c r="M13" i="6"/>
  <c r="K13" i="6"/>
  <c r="L13" i="6"/>
  <c r="J11" i="6"/>
  <c r="M11" i="6"/>
  <c r="K11" i="6"/>
  <c r="L11" i="6"/>
  <c r="I28" i="6"/>
  <c r="L38" i="6"/>
  <c r="M38" i="6"/>
  <c r="J38" i="6"/>
  <c r="K38" i="6"/>
  <c r="J3" i="6"/>
  <c r="K3" i="6"/>
  <c r="L3" i="6"/>
  <c r="M3" i="6"/>
  <c r="K30" i="6"/>
  <c r="M30" i="6"/>
  <c r="L30" i="6"/>
  <c r="J30" i="6"/>
  <c r="G10" i="6"/>
  <c r="G28" i="6"/>
  <c r="I35" i="6"/>
  <c r="C55" i="19" s="1"/>
  <c r="P55" i="19" s="1"/>
  <c r="I26" i="6"/>
  <c r="C46" i="19" s="1"/>
  <c r="P46" i="19" s="1"/>
  <c r="M36" i="6"/>
  <c r="J36" i="6"/>
  <c r="K36" i="6"/>
  <c r="L36" i="6"/>
  <c r="L18" i="6"/>
  <c r="M18" i="6"/>
  <c r="J18" i="6"/>
  <c r="K18" i="6"/>
  <c r="J32" i="6"/>
  <c r="M32" i="6"/>
  <c r="K32" i="6"/>
  <c r="L32" i="6"/>
  <c r="K20" i="6"/>
  <c r="M20" i="6"/>
  <c r="J20" i="6"/>
  <c r="L20" i="6"/>
  <c r="I3" i="9"/>
  <c r="I31" i="9"/>
  <c r="I6" i="34"/>
  <c r="I27" i="9"/>
  <c r="I26" i="9"/>
  <c r="I8" i="9"/>
  <c r="I7" i="34"/>
  <c r="I11" i="9"/>
  <c r="I13" i="9"/>
  <c r="I32" i="9"/>
  <c r="I24" i="9"/>
  <c r="I36" i="9"/>
  <c r="I35" i="9"/>
  <c r="I25" i="9"/>
  <c r="I10" i="34"/>
  <c r="I9" i="9"/>
  <c r="I11" i="34"/>
  <c r="U11" i="34"/>
  <c r="W22" i="34"/>
  <c r="U22" i="34"/>
  <c r="I15" i="34"/>
  <c r="U15" i="34"/>
  <c r="Q15" i="34"/>
  <c r="V15" i="34" s="1"/>
  <c r="T15" i="34"/>
  <c r="Y15" i="34" s="1"/>
  <c r="S15" i="34"/>
  <c r="X15" i="34" s="1"/>
  <c r="R15" i="34"/>
  <c r="W15" i="34" s="1"/>
  <c r="I21" i="34"/>
  <c r="U21" i="34"/>
  <c r="I34" i="34"/>
  <c r="U34" i="34"/>
  <c r="I46" i="34"/>
  <c r="U46" i="34"/>
  <c r="I32" i="34"/>
  <c r="U32" i="34"/>
  <c r="Q32" i="34"/>
  <c r="V32" i="34" s="1"/>
  <c r="T32" i="34"/>
  <c r="Y32" i="34" s="1"/>
  <c r="R32" i="34"/>
  <c r="W32" i="34" s="1"/>
  <c r="S32" i="34"/>
  <c r="X32" i="34" s="1"/>
  <c r="I44" i="34"/>
  <c r="U44" i="34"/>
  <c r="I33" i="34"/>
  <c r="U33" i="34"/>
  <c r="R33" i="34"/>
  <c r="W33" i="34" s="1"/>
  <c r="S33" i="34"/>
  <c r="X33" i="34" s="1"/>
  <c r="T33" i="34"/>
  <c r="Y33" i="34" s="1"/>
  <c r="Q33" i="34"/>
  <c r="V33" i="34" s="1"/>
  <c r="I41" i="34"/>
  <c r="U41" i="34"/>
  <c r="I20" i="34"/>
  <c r="U20" i="34"/>
  <c r="T20" i="34"/>
  <c r="Y20" i="34" s="1"/>
  <c r="R20" i="34"/>
  <c r="W20" i="34" s="1"/>
  <c r="S20" i="34"/>
  <c r="X20" i="34" s="1"/>
  <c r="Q20" i="34"/>
  <c r="V20" i="34" s="1"/>
  <c r="I36" i="34"/>
  <c r="U36" i="34"/>
  <c r="I45" i="34"/>
  <c r="U45" i="34"/>
  <c r="I43" i="34"/>
  <c r="U43" i="34"/>
  <c r="R43" i="34"/>
  <c r="W43" i="34" s="1"/>
  <c r="T43" i="34"/>
  <c r="Y43" i="34" s="1"/>
  <c r="S43" i="34"/>
  <c r="X43" i="34" s="1"/>
  <c r="Q43" i="34"/>
  <c r="V43" i="34" s="1"/>
  <c r="I17" i="34"/>
  <c r="U17" i="34"/>
  <c r="I38" i="9"/>
  <c r="I24" i="34"/>
  <c r="U24" i="34"/>
  <c r="I9" i="34"/>
  <c r="U9" i="34"/>
  <c r="Q9" i="34"/>
  <c r="V9" i="34" s="1"/>
  <c r="T9" i="34"/>
  <c r="Y9" i="34" s="1"/>
  <c r="S9" i="34"/>
  <c r="X9" i="34" s="1"/>
  <c r="R9" i="34"/>
  <c r="W9" i="34" s="1"/>
  <c r="I30" i="34"/>
  <c r="U30" i="34"/>
  <c r="T30" i="34"/>
  <c r="Y30" i="34" s="1"/>
  <c r="Q30" i="34"/>
  <c r="V30" i="34" s="1"/>
  <c r="S30" i="34"/>
  <c r="X30" i="34" s="1"/>
  <c r="R30" i="34"/>
  <c r="W30" i="34" s="1"/>
  <c r="I40" i="34"/>
  <c r="U40" i="34"/>
  <c r="G28" i="9"/>
  <c r="I13" i="34"/>
  <c r="U13" i="34"/>
  <c r="I8" i="34"/>
  <c r="U8" i="34"/>
  <c r="S8" i="34"/>
  <c r="X8" i="34" s="1"/>
  <c r="R8" i="34"/>
  <c r="W8" i="34" s="1"/>
  <c r="T8" i="34"/>
  <c r="Y8" i="34" s="1"/>
  <c r="Q8" i="34"/>
  <c r="V8" i="34" s="1"/>
  <c r="I29" i="34"/>
  <c r="U29" i="34"/>
  <c r="Q29" i="34"/>
  <c r="V29" i="34" s="1"/>
  <c r="S29" i="34"/>
  <c r="X29" i="34" s="1"/>
  <c r="T29" i="34"/>
  <c r="Y29" i="34" s="1"/>
  <c r="R29" i="34"/>
  <c r="W29" i="34" s="1"/>
  <c r="I28" i="34"/>
  <c r="U28" i="34"/>
  <c r="I47" i="34"/>
  <c r="U47" i="34"/>
  <c r="R47" i="34"/>
  <c r="W47" i="34" s="1"/>
  <c r="Q47" i="34"/>
  <c r="V47" i="34" s="1"/>
  <c r="T47" i="34"/>
  <c r="Y47" i="34" s="1"/>
  <c r="S47" i="34"/>
  <c r="X47" i="34" s="1"/>
  <c r="I18" i="34"/>
  <c r="U18" i="34"/>
  <c r="Q18" i="34"/>
  <c r="V18" i="34" s="1"/>
  <c r="S18" i="34"/>
  <c r="X18" i="34" s="1"/>
  <c r="T18" i="34"/>
  <c r="Y18" i="34" s="1"/>
  <c r="R18" i="34"/>
  <c r="W18" i="34" s="1"/>
  <c r="I16" i="34"/>
  <c r="U16" i="34"/>
  <c r="I38" i="34"/>
  <c r="U38" i="34"/>
  <c r="I35" i="34"/>
  <c r="U35" i="34"/>
  <c r="Q35" i="34"/>
  <c r="V35" i="34" s="1"/>
  <c r="T35" i="34"/>
  <c r="Y35" i="34" s="1"/>
  <c r="S35" i="34"/>
  <c r="X35" i="34" s="1"/>
  <c r="R35" i="34"/>
  <c r="W35" i="34" s="1"/>
  <c r="I39" i="34"/>
  <c r="U39" i="34"/>
  <c r="I26" i="34"/>
  <c r="U26" i="34"/>
  <c r="S26" i="34"/>
  <c r="X26" i="34" s="1"/>
  <c r="T26" i="34"/>
  <c r="Y26" i="34" s="1"/>
  <c r="R26" i="34"/>
  <c r="W26" i="34" s="1"/>
  <c r="Q26" i="34"/>
  <c r="V26" i="34" s="1"/>
  <c r="I23" i="34"/>
  <c r="U23" i="34"/>
  <c r="U5" i="34"/>
  <c r="R5" i="34"/>
  <c r="W5" i="34" s="1"/>
  <c r="T5" i="34"/>
  <c r="Y5" i="34" s="1"/>
  <c r="Q5" i="34"/>
  <c r="V5" i="34" s="1"/>
  <c r="S5" i="34"/>
  <c r="X5" i="34" s="1"/>
  <c r="I27" i="34"/>
  <c r="U27" i="34"/>
  <c r="I14" i="34"/>
  <c r="U14" i="34"/>
  <c r="I2" i="9"/>
  <c r="G32" i="9"/>
  <c r="G3" i="11"/>
  <c r="I26" i="11"/>
  <c r="I22" i="11"/>
  <c r="I39" i="11"/>
  <c r="G24" i="9"/>
  <c r="V51" i="36"/>
  <c r="G10" i="9"/>
  <c r="G30" i="9"/>
  <c r="G3" i="9"/>
  <c r="I34" i="11"/>
  <c r="G29" i="11"/>
  <c r="G12" i="11"/>
  <c r="G15" i="11"/>
  <c r="G14" i="11"/>
  <c r="J14" i="11"/>
  <c r="K14" i="11"/>
  <c r="L14" i="11"/>
  <c r="M14" i="11"/>
  <c r="I2" i="11"/>
  <c r="J2" i="11"/>
  <c r="K2" i="11"/>
  <c r="L2" i="11"/>
  <c r="M2" i="11"/>
  <c r="I19" i="11"/>
  <c r="K19" i="11"/>
  <c r="L19" i="11"/>
  <c r="M19" i="11"/>
  <c r="J19" i="11"/>
  <c r="G37" i="11"/>
  <c r="L37" i="11"/>
  <c r="M37" i="11"/>
  <c r="J37" i="11"/>
  <c r="K37" i="11"/>
  <c r="I4" i="11"/>
  <c r="J4" i="11"/>
  <c r="K4" i="11"/>
  <c r="L4" i="11"/>
  <c r="M4" i="11"/>
  <c r="I31" i="11"/>
  <c r="J31" i="11"/>
  <c r="L31" i="11"/>
  <c r="K31" i="11"/>
  <c r="M31" i="11"/>
  <c r="I9" i="11"/>
  <c r="K9" i="11"/>
  <c r="L9" i="11"/>
  <c r="M9" i="11"/>
  <c r="J9" i="11"/>
  <c r="I27" i="11"/>
  <c r="L27" i="11"/>
  <c r="M27" i="11"/>
  <c r="K27" i="11"/>
  <c r="J27" i="11"/>
  <c r="I33" i="11"/>
  <c r="K33" i="11"/>
  <c r="J33" i="11"/>
  <c r="L33" i="11"/>
  <c r="M33" i="11"/>
  <c r="I21" i="11"/>
  <c r="J21" i="11"/>
  <c r="L21" i="11"/>
  <c r="K21" i="11"/>
  <c r="M21" i="11"/>
  <c r="I25" i="11"/>
  <c r="M25" i="11"/>
  <c r="J25" i="11"/>
  <c r="K25" i="11"/>
  <c r="L25" i="11"/>
  <c r="I17" i="11"/>
  <c r="L17" i="11"/>
  <c r="M17" i="11"/>
  <c r="J17" i="11"/>
  <c r="K17" i="11"/>
  <c r="I23" i="11"/>
  <c r="K23" i="11"/>
  <c r="J23" i="11"/>
  <c r="L23" i="11"/>
  <c r="M23" i="11"/>
  <c r="I11" i="11"/>
  <c r="J11" i="11"/>
  <c r="K11" i="11"/>
  <c r="L11" i="11"/>
  <c r="M11" i="11"/>
  <c r="I30" i="11"/>
  <c r="K30" i="11"/>
  <c r="L30" i="11"/>
  <c r="M30" i="11"/>
  <c r="J30" i="11"/>
  <c r="I7" i="11"/>
  <c r="L7" i="11"/>
  <c r="M7" i="11"/>
  <c r="J7" i="11"/>
  <c r="K7" i="11"/>
  <c r="J13" i="11"/>
  <c r="K13" i="11"/>
  <c r="L13" i="11"/>
  <c r="M13" i="11"/>
  <c r="I5" i="11"/>
  <c r="M5" i="11"/>
  <c r="J5" i="11"/>
  <c r="K5" i="11"/>
  <c r="L5" i="11"/>
  <c r="I38" i="11"/>
  <c r="L38" i="11"/>
  <c r="M38" i="11"/>
  <c r="J38" i="11"/>
  <c r="K38" i="11"/>
  <c r="G38" i="11"/>
  <c r="J3" i="11"/>
  <c r="K3" i="11"/>
  <c r="L3" i="11"/>
  <c r="M3" i="11"/>
  <c r="I20" i="11"/>
  <c r="K20" i="11"/>
  <c r="L20" i="11"/>
  <c r="M20" i="11"/>
  <c r="J20" i="11"/>
  <c r="L28" i="11"/>
  <c r="M28" i="11"/>
  <c r="J28" i="11"/>
  <c r="K28" i="11"/>
  <c r="I36" i="11"/>
  <c r="M36" i="11"/>
  <c r="J36" i="11"/>
  <c r="K36" i="11"/>
  <c r="L36" i="11"/>
  <c r="M15" i="11"/>
  <c r="J15" i="11"/>
  <c r="K15" i="11"/>
  <c r="L15" i="11"/>
  <c r="I10" i="11"/>
  <c r="K10" i="11"/>
  <c r="L10" i="11"/>
  <c r="M10" i="11"/>
  <c r="J10" i="11"/>
  <c r="I18" i="11"/>
  <c r="L18" i="11"/>
  <c r="M18" i="11"/>
  <c r="J18" i="11"/>
  <c r="K18" i="11"/>
  <c r="M26" i="11"/>
  <c r="J26" i="11"/>
  <c r="K26" i="11"/>
  <c r="L26" i="11"/>
  <c r="J32" i="11"/>
  <c r="K32" i="11"/>
  <c r="L32" i="11"/>
  <c r="M32" i="11"/>
  <c r="J24" i="11"/>
  <c r="K24" i="11"/>
  <c r="L24" i="11"/>
  <c r="M24" i="11"/>
  <c r="I8" i="11"/>
  <c r="L8" i="11"/>
  <c r="M8" i="11"/>
  <c r="J8" i="11"/>
  <c r="K8" i="11"/>
  <c r="M16" i="11"/>
  <c r="J16" i="11"/>
  <c r="K16" i="11"/>
  <c r="L16" i="11"/>
  <c r="J22" i="11"/>
  <c r="K22" i="11"/>
  <c r="L22" i="11"/>
  <c r="M22" i="11"/>
  <c r="K39" i="11"/>
  <c r="M39" i="11"/>
  <c r="L39" i="11"/>
  <c r="J39" i="11"/>
  <c r="M35" i="11"/>
  <c r="J35" i="11"/>
  <c r="K35" i="11"/>
  <c r="L35" i="11"/>
  <c r="M6" i="11"/>
  <c r="J6" i="11"/>
  <c r="K6" i="11"/>
  <c r="L6" i="11"/>
  <c r="J12" i="11"/>
  <c r="K12" i="11"/>
  <c r="L12" i="11"/>
  <c r="M12" i="11"/>
  <c r="K29" i="11"/>
  <c r="L29" i="11"/>
  <c r="M29" i="11"/>
  <c r="J29" i="11"/>
  <c r="J34" i="11"/>
  <c r="K34" i="11"/>
  <c r="L34" i="11"/>
  <c r="M34" i="11"/>
  <c r="I37" i="13"/>
  <c r="J37" i="13"/>
  <c r="K37" i="13"/>
  <c r="L37" i="13"/>
  <c r="M37" i="13"/>
  <c r="I10" i="13"/>
  <c r="M10" i="13"/>
  <c r="J10" i="13"/>
  <c r="K10" i="13"/>
  <c r="L10" i="13"/>
  <c r="I17" i="13"/>
  <c r="J17" i="13"/>
  <c r="L17" i="13"/>
  <c r="K17" i="13"/>
  <c r="M17" i="13"/>
  <c r="I12" i="13"/>
  <c r="L12" i="13"/>
  <c r="M12" i="13"/>
  <c r="J12" i="13"/>
  <c r="K12" i="13"/>
  <c r="I19" i="13"/>
  <c r="L19" i="13"/>
  <c r="K19" i="13"/>
  <c r="M19" i="13"/>
  <c r="J19" i="13"/>
  <c r="I2" i="13"/>
  <c r="M2" i="13"/>
  <c r="J2" i="13"/>
  <c r="K2" i="13"/>
  <c r="L2" i="13"/>
  <c r="I9" i="13"/>
  <c r="L9" i="13"/>
  <c r="J9" i="13"/>
  <c r="K9" i="13"/>
  <c r="M9" i="13"/>
  <c r="I16" i="13"/>
  <c r="M16" i="13"/>
  <c r="K16" i="13"/>
  <c r="J16" i="13"/>
  <c r="L16" i="13"/>
  <c r="I4" i="13"/>
  <c r="K4" i="13"/>
  <c r="L4" i="13"/>
  <c r="J4" i="13"/>
  <c r="M4" i="13"/>
  <c r="I25" i="13"/>
  <c r="K25" i="13"/>
  <c r="L25" i="13"/>
  <c r="M25" i="13"/>
  <c r="J25" i="13"/>
  <c r="I32" i="13"/>
  <c r="K32" i="13"/>
  <c r="M32" i="13"/>
  <c r="J32" i="13"/>
  <c r="L32" i="13"/>
  <c r="I22" i="13"/>
  <c r="J22" i="13"/>
  <c r="M22" i="13"/>
  <c r="K22" i="13"/>
  <c r="L22" i="13"/>
  <c r="I7" i="13"/>
  <c r="J7" i="13"/>
  <c r="M7" i="13"/>
  <c r="L7" i="13"/>
  <c r="K7" i="13"/>
  <c r="I24" i="13"/>
  <c r="L24" i="13"/>
  <c r="J24" i="13"/>
  <c r="K24" i="13"/>
  <c r="M24" i="13"/>
  <c r="G22" i="13"/>
  <c r="I26" i="13"/>
  <c r="K26" i="13"/>
  <c r="M26" i="13"/>
  <c r="J26" i="13"/>
  <c r="L26" i="13"/>
  <c r="I31" i="13"/>
  <c r="M31" i="13"/>
  <c r="J31" i="13"/>
  <c r="K31" i="13"/>
  <c r="L31" i="13"/>
  <c r="I38" i="13"/>
  <c r="J38" i="13"/>
  <c r="L38" i="13"/>
  <c r="M38" i="13"/>
  <c r="K38" i="13"/>
  <c r="I6" i="13"/>
  <c r="J6" i="13"/>
  <c r="K6" i="13"/>
  <c r="M6" i="13"/>
  <c r="L6" i="13"/>
  <c r="I33" i="13"/>
  <c r="L33" i="13"/>
  <c r="M33" i="13"/>
  <c r="J33" i="13"/>
  <c r="K33" i="13"/>
  <c r="I30" i="13"/>
  <c r="L30" i="13"/>
  <c r="K30" i="13"/>
  <c r="M30" i="13"/>
  <c r="J30" i="13"/>
  <c r="I8" i="13"/>
  <c r="M8" i="13"/>
  <c r="J8" i="13"/>
  <c r="L8" i="13"/>
  <c r="K8" i="13"/>
  <c r="I3" i="13"/>
  <c r="L3" i="13"/>
  <c r="M3" i="13"/>
  <c r="J3" i="13"/>
  <c r="K3" i="13"/>
  <c r="I15" i="13"/>
  <c r="K15" i="13"/>
  <c r="L15" i="13"/>
  <c r="J15" i="13"/>
  <c r="M15" i="13"/>
  <c r="I27" i="13"/>
  <c r="J27" i="13"/>
  <c r="M27" i="13"/>
  <c r="K27" i="13"/>
  <c r="L27" i="13"/>
  <c r="I34" i="13"/>
  <c r="J34" i="13"/>
  <c r="L34" i="13"/>
  <c r="M34" i="13"/>
  <c r="K34" i="13"/>
  <c r="G15" i="13"/>
  <c r="I14" i="13"/>
  <c r="L14" i="13"/>
  <c r="K14" i="13"/>
  <c r="M14" i="13"/>
  <c r="J14" i="13"/>
  <c r="G3" i="13"/>
  <c r="G37" i="13"/>
  <c r="I21" i="13"/>
  <c r="M21" i="13"/>
  <c r="K21" i="13"/>
  <c r="J21" i="13"/>
  <c r="L21" i="13"/>
  <c r="I28" i="13"/>
  <c r="J28" i="13"/>
  <c r="L28" i="13"/>
  <c r="K28" i="13"/>
  <c r="M28" i="13"/>
  <c r="I36" i="13"/>
  <c r="K36" i="13"/>
  <c r="L36" i="13"/>
  <c r="M36" i="13"/>
  <c r="J36" i="13"/>
  <c r="I23" i="13"/>
  <c r="L23" i="13"/>
  <c r="J23" i="13"/>
  <c r="M23" i="13"/>
  <c r="K23" i="13"/>
  <c r="I20" i="13"/>
  <c r="K20" i="13"/>
  <c r="L20" i="13"/>
  <c r="M20" i="13"/>
  <c r="J20" i="13"/>
  <c r="G20" i="13"/>
  <c r="I5" i="13"/>
  <c r="K5" i="13"/>
  <c r="L5" i="13"/>
  <c r="M5" i="13"/>
  <c r="J5" i="13"/>
  <c r="I39" i="13"/>
  <c r="J39" i="13"/>
  <c r="K39" i="13"/>
  <c r="L39" i="13"/>
  <c r="M39" i="13"/>
  <c r="I29" i="13"/>
  <c r="K29" i="13"/>
  <c r="M29" i="13"/>
  <c r="J29" i="13"/>
  <c r="L29" i="13"/>
  <c r="G27" i="13"/>
  <c r="G17" i="13"/>
  <c r="I11" i="13"/>
  <c r="M11" i="13"/>
  <c r="L11" i="13"/>
  <c r="K11" i="13"/>
  <c r="J11" i="13"/>
  <c r="I18" i="13"/>
  <c r="L18" i="13"/>
  <c r="J18" i="13"/>
  <c r="M18" i="13"/>
  <c r="K18" i="13"/>
  <c r="I35" i="13"/>
  <c r="K35" i="13"/>
  <c r="L35" i="13"/>
  <c r="J35" i="13"/>
  <c r="M35" i="13"/>
  <c r="I13" i="13"/>
  <c r="L13" i="13"/>
  <c r="J13" i="13"/>
  <c r="M13" i="13"/>
  <c r="K13" i="13"/>
  <c r="BF61" i="19"/>
  <c r="BF60" i="19"/>
  <c r="G26" i="13"/>
  <c r="G14" i="13"/>
  <c r="G6" i="13"/>
  <c r="G19" i="13"/>
  <c r="G12" i="13"/>
  <c r="G11" i="13"/>
  <c r="G9" i="13"/>
  <c r="G16" i="13"/>
  <c r="G2" i="13"/>
  <c r="G4" i="13"/>
  <c r="G21" i="13"/>
  <c r="G31" i="13"/>
  <c r="G23" i="13"/>
  <c r="G38" i="13"/>
  <c r="G30" i="13"/>
  <c r="G33" i="13"/>
  <c r="G28" i="13"/>
  <c r="G36" i="13"/>
  <c r="G19" i="11"/>
  <c r="G17" i="11"/>
  <c r="G33" i="11"/>
  <c r="G15" i="9"/>
  <c r="M15" i="9"/>
  <c r="K15" i="9"/>
  <c r="J15" i="9"/>
  <c r="L15" i="9"/>
  <c r="J32" i="9"/>
  <c r="K32" i="9"/>
  <c r="L32" i="9"/>
  <c r="M32" i="9"/>
  <c r="I17" i="9"/>
  <c r="L17" i="9"/>
  <c r="M17" i="9"/>
  <c r="J17" i="9"/>
  <c r="K17" i="9"/>
  <c r="I5" i="9"/>
  <c r="L5" i="9"/>
  <c r="M5" i="9"/>
  <c r="K5" i="9"/>
  <c r="J5" i="9"/>
  <c r="G22" i="9"/>
  <c r="J22" i="9"/>
  <c r="K22" i="9"/>
  <c r="L22" i="9"/>
  <c r="M22" i="9"/>
  <c r="I29" i="9"/>
  <c r="C49" i="19" s="1"/>
  <c r="P49" i="19" s="1"/>
  <c r="K29" i="9"/>
  <c r="L29" i="9"/>
  <c r="J29" i="9"/>
  <c r="M29" i="9"/>
  <c r="I7" i="9"/>
  <c r="K7" i="9"/>
  <c r="L7" i="9"/>
  <c r="M7" i="9"/>
  <c r="J7" i="9"/>
  <c r="G34" i="9"/>
  <c r="M34" i="9"/>
  <c r="J34" i="9"/>
  <c r="K34" i="9"/>
  <c r="L34" i="9"/>
  <c r="G12" i="9"/>
  <c r="J12" i="9"/>
  <c r="K12" i="9"/>
  <c r="L12" i="9"/>
  <c r="M12" i="9"/>
  <c r="I19" i="9"/>
  <c r="K19" i="9"/>
  <c r="L19" i="9"/>
  <c r="M19" i="9"/>
  <c r="J19" i="9"/>
  <c r="M24" i="9"/>
  <c r="J24" i="9"/>
  <c r="K24" i="9"/>
  <c r="L24" i="9"/>
  <c r="J2" i="9"/>
  <c r="K2" i="9"/>
  <c r="L2" i="9"/>
  <c r="M2" i="9"/>
  <c r="K9" i="9"/>
  <c r="J9" i="9"/>
  <c r="L9" i="9"/>
  <c r="M9" i="9"/>
  <c r="L36" i="9"/>
  <c r="M36" i="9"/>
  <c r="J36" i="9"/>
  <c r="K36" i="9"/>
  <c r="M14" i="9"/>
  <c r="J14" i="9"/>
  <c r="K14" i="9"/>
  <c r="L14" i="9"/>
  <c r="J31" i="9"/>
  <c r="K31" i="9"/>
  <c r="M31" i="9"/>
  <c r="L31" i="9"/>
  <c r="K38" i="9"/>
  <c r="L38" i="9"/>
  <c r="M38" i="9"/>
  <c r="J38" i="9"/>
  <c r="L26" i="9"/>
  <c r="M26" i="9"/>
  <c r="J26" i="9"/>
  <c r="K26" i="9"/>
  <c r="M4" i="9"/>
  <c r="J4" i="9"/>
  <c r="K4" i="9"/>
  <c r="L4" i="9"/>
  <c r="J21" i="9"/>
  <c r="K21" i="9"/>
  <c r="L21" i="9"/>
  <c r="M21" i="9"/>
  <c r="K28" i="9"/>
  <c r="L28" i="9"/>
  <c r="M28" i="9"/>
  <c r="J28" i="9"/>
  <c r="I16" i="9"/>
  <c r="L16" i="9"/>
  <c r="M16" i="9"/>
  <c r="J16" i="9"/>
  <c r="K16" i="9"/>
  <c r="I33" i="9"/>
  <c r="L33" i="9"/>
  <c r="M33" i="9"/>
  <c r="J33" i="9"/>
  <c r="K33" i="9"/>
  <c r="J11" i="9"/>
  <c r="K11" i="9"/>
  <c r="L11" i="9"/>
  <c r="M11" i="9"/>
  <c r="K18" i="9"/>
  <c r="L18" i="9"/>
  <c r="M18" i="9"/>
  <c r="J18" i="9"/>
  <c r="I28" i="9"/>
  <c r="I4" i="9"/>
  <c r="I6" i="9"/>
  <c r="L6" i="9"/>
  <c r="M6" i="9"/>
  <c r="J6" i="9"/>
  <c r="K6" i="9"/>
  <c r="I23" i="9"/>
  <c r="L23" i="9"/>
  <c r="M23" i="9"/>
  <c r="J23" i="9"/>
  <c r="K23" i="9"/>
  <c r="J30" i="9"/>
  <c r="K30" i="9"/>
  <c r="L30" i="9"/>
  <c r="M30" i="9"/>
  <c r="G8" i="9"/>
  <c r="K8" i="9"/>
  <c r="L8" i="9"/>
  <c r="M8" i="9"/>
  <c r="J8" i="9"/>
  <c r="M35" i="9"/>
  <c r="L35" i="9"/>
  <c r="K35" i="9"/>
  <c r="J35" i="9"/>
  <c r="L13" i="9"/>
  <c r="J13" i="9"/>
  <c r="K13" i="9"/>
  <c r="M13" i="9"/>
  <c r="I20" i="9"/>
  <c r="J20" i="9"/>
  <c r="K20" i="9"/>
  <c r="L20" i="9"/>
  <c r="M20" i="9"/>
  <c r="G37" i="9"/>
  <c r="K37" i="9"/>
  <c r="L37" i="9"/>
  <c r="M37" i="9"/>
  <c r="J37" i="9"/>
  <c r="M25" i="9"/>
  <c r="L25" i="9"/>
  <c r="J25" i="9"/>
  <c r="K25" i="9"/>
  <c r="J3" i="9"/>
  <c r="L3" i="9"/>
  <c r="K3" i="9"/>
  <c r="M3" i="9"/>
  <c r="J10" i="9"/>
  <c r="K10" i="9"/>
  <c r="L10" i="9"/>
  <c r="M10" i="9"/>
  <c r="L27" i="9"/>
  <c r="K27" i="9"/>
  <c r="M27" i="9"/>
  <c r="J27" i="9"/>
  <c r="I15" i="9"/>
  <c r="G7" i="9"/>
  <c r="I34" i="9"/>
  <c r="G29" i="9"/>
  <c r="G20" i="9"/>
  <c r="I37" i="9"/>
  <c r="G27" i="11"/>
  <c r="G32" i="11"/>
  <c r="G5" i="11"/>
  <c r="G25" i="11"/>
  <c r="G11" i="11"/>
  <c r="G13" i="11"/>
  <c r="G34" i="6"/>
  <c r="G20" i="6"/>
  <c r="G37" i="6"/>
  <c r="G5" i="6"/>
  <c r="G22" i="6"/>
  <c r="G13" i="9"/>
  <c r="G29" i="6"/>
  <c r="G24" i="6"/>
  <c r="G18" i="9"/>
  <c r="G32" i="6"/>
  <c r="G21" i="9"/>
  <c r="G27" i="9"/>
  <c r="G35" i="9"/>
  <c r="G27" i="6"/>
  <c r="G8" i="11"/>
  <c r="G18" i="11"/>
  <c r="G31" i="11"/>
  <c r="G35" i="11"/>
  <c r="G6" i="11"/>
  <c r="G21" i="11"/>
  <c r="G24" i="11"/>
  <c r="G16" i="11"/>
  <c r="G36" i="11"/>
  <c r="G9" i="11"/>
  <c r="G28" i="11"/>
  <c r="G4" i="11"/>
  <c r="G6" i="9"/>
  <c r="G23" i="9"/>
  <c r="G19" i="9"/>
  <c r="G14" i="9"/>
  <c r="G36" i="9"/>
  <c r="G5" i="9"/>
  <c r="G25" i="9"/>
  <c r="G11" i="9"/>
  <c r="G16" i="9"/>
  <c r="G33" i="9"/>
  <c r="G4" i="9"/>
  <c r="G31" i="9"/>
  <c r="G26" i="9"/>
  <c r="G9" i="9"/>
  <c r="G38" i="9"/>
  <c r="X8" i="18"/>
  <c r="V8" i="18" s="1"/>
  <c r="N128" i="18" s="1"/>
  <c r="BC9" i="19"/>
  <c r="AQ69" i="19" s="1"/>
  <c r="V10" i="18"/>
  <c r="N130" i="18" s="1"/>
  <c r="R127" i="18"/>
  <c r="R77" i="18"/>
  <c r="Q2" i="26"/>
  <c r="R76" i="18"/>
  <c r="P2" i="26"/>
  <c r="R78" i="18"/>
  <c r="R2" i="26"/>
  <c r="R125" i="18"/>
  <c r="R124" i="18"/>
  <c r="S45" i="30" a="1"/>
  <c r="S45" i="30" s="1"/>
  <c r="B4" i="22" a="1"/>
  <c r="B4" i="22" s="1"/>
  <c r="B2" i="7" s="1"/>
  <c r="A3" i="40" a="1"/>
  <c r="A3" i="40" s="1"/>
  <c r="S114" i="30" a="1"/>
  <c r="S114" i="30" s="1"/>
  <c r="M3" i="19" a="1"/>
  <c r="M3" i="19" s="1"/>
  <c r="G17" i="9"/>
  <c r="G2" i="6"/>
  <c r="S18" i="30" a="1"/>
  <c r="S18" i="30" s="1"/>
  <c r="S36" i="30" a="1"/>
  <c r="S36" i="30" s="1"/>
  <c r="S57" i="30" a="1"/>
  <c r="S57" i="30" s="1"/>
  <c r="S93" i="30" a="1"/>
  <c r="S93" i="30" s="1"/>
  <c r="S69" i="30" a="1"/>
  <c r="S69" i="30" s="1"/>
  <c r="O7" i="32" a="1"/>
  <c r="O7" i="32" s="1"/>
  <c r="S78" i="30" a="1"/>
  <c r="S78" i="30" s="1"/>
  <c r="S96" i="30" a="1"/>
  <c r="S96" i="30" s="1"/>
  <c r="S123" i="30" a="1"/>
  <c r="S123" i="30" s="1"/>
  <c r="S72" i="30" a="1"/>
  <c r="S72" i="30" s="1"/>
  <c r="S117" i="30" a="1"/>
  <c r="S117" i="30" s="1"/>
  <c r="S87" i="30" a="1"/>
  <c r="S87" i="30" s="1"/>
  <c r="Q10" i="19" a="1"/>
  <c r="Q10" i="19" s="1"/>
  <c r="S24" i="30" a="1"/>
  <c r="S24" i="30" s="1"/>
  <c r="S39" i="30" a="1"/>
  <c r="S39" i="30" s="1"/>
  <c r="S90" i="30" a="1"/>
  <c r="S90" i="30" s="1"/>
  <c r="S75" i="30" a="1"/>
  <c r="S75" i="30" s="1"/>
  <c r="S108" i="30" a="1"/>
  <c r="S108" i="30" s="1"/>
  <c r="S5" i="30" a="1"/>
  <c r="S5" i="30" s="1"/>
  <c r="S120" i="30" a="1"/>
  <c r="S120" i="30" s="1"/>
  <c r="S63" i="30" a="1"/>
  <c r="S63" i="30" s="1"/>
  <c r="S30" i="30" a="1"/>
  <c r="S30" i="30" s="1"/>
  <c r="S48" i="30" a="1"/>
  <c r="S48" i="30" s="1"/>
  <c r="B3" i="18" a="1"/>
  <c r="B3" i="18" s="1"/>
  <c r="S60" i="30" a="1"/>
  <c r="S60" i="30" s="1"/>
  <c r="S84" i="30" a="1"/>
  <c r="S84" i="30" s="1"/>
  <c r="S42" i="30" a="1"/>
  <c r="S42" i="30" s="1"/>
  <c r="S126" i="30" a="1"/>
  <c r="S126" i="30" s="1"/>
  <c r="S27" i="30" a="1"/>
  <c r="S27" i="30" s="1"/>
  <c r="S102" i="30" a="1"/>
  <c r="S102" i="30" s="1"/>
  <c r="S81" i="30" a="1"/>
  <c r="S81" i="30" s="1"/>
  <c r="S15" i="30" a="1"/>
  <c r="S15" i="30" s="1"/>
  <c r="S21" i="30" a="1"/>
  <c r="S21" i="30" s="1"/>
  <c r="S105" i="30" a="1"/>
  <c r="S105" i="30" s="1"/>
  <c r="S66" i="30" a="1"/>
  <c r="S66" i="30" s="1"/>
  <c r="S51" i="30" a="1"/>
  <c r="S51" i="30" s="1"/>
  <c r="S129" i="30" a="1"/>
  <c r="S129" i="30" s="1"/>
  <c r="S99" i="30" a="1"/>
  <c r="S99" i="30" s="1"/>
  <c r="S33" i="30" a="1"/>
  <c r="S33" i="30" s="1"/>
  <c r="S12" i="30" a="1"/>
  <c r="S12" i="30" s="1"/>
  <c r="S111" i="30" a="1"/>
  <c r="S111" i="30" s="1"/>
  <c r="A3" i="17" a="1"/>
  <c r="A3" i="17" s="1"/>
  <c r="S54" i="30" a="1"/>
  <c r="S54" i="30" s="1"/>
  <c r="E3" i="16" a="1"/>
  <c r="E3" i="16" s="1"/>
  <c r="C45" i="32"/>
  <c r="H46" i="16"/>
  <c r="H50" i="16"/>
  <c r="C49" i="32"/>
  <c r="H38" i="16"/>
  <c r="C37" i="32"/>
  <c r="C44" i="32"/>
  <c r="H45" i="16"/>
  <c r="H21" i="16"/>
  <c r="C20" i="32"/>
  <c r="H19" i="16"/>
  <c r="C18" i="32"/>
  <c r="H13" i="16"/>
  <c r="C12" i="32"/>
  <c r="H49" i="16"/>
  <c r="C48" i="32"/>
  <c r="C32" i="32"/>
  <c r="H33" i="16"/>
  <c r="H52" i="16"/>
  <c r="C51" i="32"/>
  <c r="C26" i="32"/>
  <c r="H27" i="16"/>
  <c r="C36" i="32"/>
  <c r="H37" i="16"/>
  <c r="C34" i="32"/>
  <c r="H35" i="16"/>
  <c r="H23" i="16"/>
  <c r="C22" i="32"/>
  <c r="C25" i="32"/>
  <c r="H26" i="16"/>
  <c r="H43" i="16"/>
  <c r="C42" i="32"/>
  <c r="H29" i="16"/>
  <c r="C28" i="32"/>
  <c r="H28" i="16"/>
  <c r="C27" i="32"/>
  <c r="C13" i="32"/>
  <c r="H14" i="16"/>
  <c r="H31" i="16"/>
  <c r="C30" i="32"/>
  <c r="C46" i="32"/>
  <c r="H47" i="16"/>
  <c r="H40" i="16"/>
  <c r="C39" i="32"/>
  <c r="C16" i="32"/>
  <c r="H17" i="16"/>
  <c r="C15" i="32"/>
  <c r="H16" i="16"/>
  <c r="H22" i="16"/>
  <c r="C21" i="32"/>
  <c r="H48" i="16"/>
  <c r="C47" i="32"/>
  <c r="C14" i="32"/>
  <c r="H15" i="16"/>
  <c r="C24" i="32"/>
  <c r="H25" i="16"/>
  <c r="H41" i="16"/>
  <c r="C40" i="32"/>
  <c r="H18" i="16"/>
  <c r="C17" i="32"/>
  <c r="H42" i="16"/>
  <c r="C41" i="32"/>
  <c r="C23" i="32"/>
  <c r="H24" i="16"/>
  <c r="C35" i="32"/>
  <c r="H36" i="16"/>
  <c r="C33" i="32"/>
  <c r="H34" i="16"/>
  <c r="C43" i="32"/>
  <c r="H44" i="16"/>
  <c r="H30" i="16"/>
  <c r="C29" i="32"/>
  <c r="H39" i="16"/>
  <c r="C38" i="32"/>
  <c r="H32" i="16"/>
  <c r="C31" i="32"/>
  <c r="H51" i="16"/>
  <c r="C50" i="32"/>
  <c r="H20" i="16"/>
  <c r="C19" i="32"/>
  <c r="F124" i="18"/>
  <c r="G17" i="6"/>
  <c r="G19" i="6"/>
  <c r="AR8" i="19" l="1"/>
  <c r="AS8" i="19" s="1"/>
  <c r="K47" i="19"/>
  <c r="CA47" i="19" s="1"/>
  <c r="H49" i="19"/>
  <c r="K34" i="19"/>
  <c r="CA34" i="19" s="1"/>
  <c r="K55" i="19"/>
  <c r="CA55" i="19" s="1"/>
  <c r="K52" i="19"/>
  <c r="CA52" i="19" s="1"/>
  <c r="K42" i="19"/>
  <c r="CA42" i="19" s="1"/>
  <c r="K45" i="19"/>
  <c r="CA45" i="19" s="1"/>
  <c r="K41" i="19"/>
  <c r="H29" i="19"/>
  <c r="K62" i="19"/>
  <c r="CA62" i="19" s="1"/>
  <c r="H22" i="19"/>
  <c r="J12" i="32" s="1"/>
  <c r="H28" i="19"/>
  <c r="J18" i="32" s="1"/>
  <c r="J30" i="19"/>
  <c r="K32" i="19"/>
  <c r="CA32" i="19" s="1"/>
  <c r="H59" i="19"/>
  <c r="J49" i="32" s="1"/>
  <c r="J40" i="19"/>
  <c r="BZ40" i="19" s="1"/>
  <c r="K43" i="19"/>
  <c r="CA43" i="19" s="1"/>
  <c r="K51" i="19"/>
  <c r="K36" i="19"/>
  <c r="CA36" i="19" s="1"/>
  <c r="K46" i="19"/>
  <c r="CA46" i="19" s="1"/>
  <c r="K54" i="19"/>
  <c r="CA54" i="19" s="1"/>
  <c r="J57" i="19"/>
  <c r="K53" i="19"/>
  <c r="CA53" i="19" s="1"/>
  <c r="K27" i="19"/>
  <c r="CA27" i="19" s="1"/>
  <c r="K23" i="19"/>
  <c r="CA23" i="19" s="1"/>
  <c r="K44" i="19"/>
  <c r="CA44" i="19" s="1"/>
  <c r="J60" i="19"/>
  <c r="BZ60" i="19" s="1"/>
  <c r="K61" i="19"/>
  <c r="CA61" i="19" s="1"/>
  <c r="K33" i="19"/>
  <c r="CA33" i="19" s="1"/>
  <c r="K25" i="19"/>
  <c r="H48" i="19"/>
  <c r="J50" i="19"/>
  <c r="BZ50" i="19" s="1"/>
  <c r="K24" i="19"/>
  <c r="CA24" i="19" s="1"/>
  <c r="C25" i="19"/>
  <c r="P25" i="19" s="1"/>
  <c r="C35" i="19"/>
  <c r="P35" i="19" s="1"/>
  <c r="C57" i="19"/>
  <c r="P57" i="19" s="1"/>
  <c r="C47" i="19"/>
  <c r="P47" i="19" s="1"/>
  <c r="C58" i="19"/>
  <c r="P58" i="19" s="1"/>
  <c r="C56" i="19"/>
  <c r="P56" i="19" s="1"/>
  <c r="C44" i="19"/>
  <c r="P44" i="19" s="1"/>
  <c r="C34" i="19"/>
  <c r="P34" i="19" s="1"/>
  <c r="C26" i="19"/>
  <c r="P26" i="19" s="1"/>
  <c r="K38" i="19"/>
  <c r="CA38" i="19" s="1"/>
  <c r="C32" i="19"/>
  <c r="C31" i="19"/>
  <c r="P31" i="19" s="1"/>
  <c r="C38" i="19"/>
  <c r="P38" i="19" s="1"/>
  <c r="C39" i="19"/>
  <c r="P39" i="19" s="1"/>
  <c r="C37" i="19"/>
  <c r="C52" i="19"/>
  <c r="P52" i="19" s="1"/>
  <c r="H39" i="19"/>
  <c r="J29" i="32" s="1"/>
  <c r="C48" i="19"/>
  <c r="P48" i="19" s="1"/>
  <c r="C54" i="19"/>
  <c r="P54" i="19" s="1"/>
  <c r="C43" i="19"/>
  <c r="P43" i="19" s="1"/>
  <c r="C33" i="19"/>
  <c r="K37" i="19"/>
  <c r="CA37" i="19" s="1"/>
  <c r="C22" i="19"/>
  <c r="P22" i="19" s="1"/>
  <c r="C41" i="19"/>
  <c r="P41" i="19" s="1"/>
  <c r="C28" i="19"/>
  <c r="P28" i="19" s="1"/>
  <c r="C27" i="19"/>
  <c r="P27" i="19" s="1"/>
  <c r="C24" i="19"/>
  <c r="P24" i="19" s="1"/>
  <c r="C23" i="19"/>
  <c r="P23" i="19" s="1"/>
  <c r="C40" i="19"/>
  <c r="P40" i="19" s="1"/>
  <c r="C51" i="19"/>
  <c r="P51" i="19" s="1"/>
  <c r="C29" i="19"/>
  <c r="P29" i="19" s="1"/>
  <c r="V51" i="35"/>
  <c r="U51" i="36"/>
  <c r="C59" i="19"/>
  <c r="P59" i="19" s="1"/>
  <c r="H58" i="19"/>
  <c r="D58" i="19"/>
  <c r="BG58" i="19" s="1" a="1"/>
  <c r="BG58" i="19" s="1"/>
  <c r="L30" i="30"/>
  <c r="H30" i="30" s="1"/>
  <c r="K31" i="19"/>
  <c r="CA31" i="19" s="1"/>
  <c r="N31" i="19"/>
  <c r="O59" i="30"/>
  <c r="V59" i="30" s="1"/>
  <c r="K128" i="30"/>
  <c r="L128" i="30" s="1"/>
  <c r="H128" i="30" s="1"/>
  <c r="O86" i="30"/>
  <c r="X86" i="30" s="1"/>
  <c r="N91" i="30"/>
  <c r="X91" i="30" s="1"/>
  <c r="M128" i="30"/>
  <c r="O128" i="30"/>
  <c r="V128" i="30" s="1"/>
  <c r="K98" i="30"/>
  <c r="L98" i="30" s="1"/>
  <c r="H98" i="30" s="1"/>
  <c r="N128" i="30"/>
  <c r="N19" i="30"/>
  <c r="V19" i="30" s="1"/>
  <c r="U51" i="35"/>
  <c r="Z56" i="30"/>
  <c r="M127" i="30"/>
  <c r="H44" i="19"/>
  <c r="J34" i="32" s="1"/>
  <c r="N127" i="30"/>
  <c r="Y127" i="30" s="1"/>
  <c r="L126" i="30"/>
  <c r="H126" i="30" s="1"/>
  <c r="K127" i="30"/>
  <c r="L127" i="30" s="1"/>
  <c r="H127" i="30" s="1"/>
  <c r="I127" i="30"/>
  <c r="H33" i="19"/>
  <c r="W56" i="30"/>
  <c r="V56" i="30"/>
  <c r="H23" i="19"/>
  <c r="J13" i="32" s="1"/>
  <c r="O83" i="30"/>
  <c r="Y83" i="30" s="1"/>
  <c r="J44" i="19"/>
  <c r="AV44" i="19" s="1"/>
  <c r="H34" i="19"/>
  <c r="L83" i="30"/>
  <c r="H83" i="30" s="1"/>
  <c r="J34" i="19"/>
  <c r="BZ34" i="19" s="1"/>
  <c r="J24" i="19"/>
  <c r="BZ24" i="19" s="1"/>
  <c r="H24" i="19"/>
  <c r="K18" i="30"/>
  <c r="L18" i="30" s="1"/>
  <c r="H18" i="30" s="1"/>
  <c r="K111" i="30"/>
  <c r="L111" i="30" s="1"/>
  <c r="H111" i="30" s="1"/>
  <c r="J33" i="19"/>
  <c r="BZ33" i="19" s="1"/>
  <c r="M111" i="30"/>
  <c r="X111" i="30" s="1"/>
  <c r="N96" i="30"/>
  <c r="M91" i="30"/>
  <c r="K86" i="30"/>
  <c r="L86" i="30" s="1"/>
  <c r="H86" i="30" s="1"/>
  <c r="K21" i="30"/>
  <c r="L21" i="30" s="1"/>
  <c r="H21" i="30" s="1"/>
  <c r="N21" i="30"/>
  <c r="K91" i="30"/>
  <c r="L91" i="30" s="1"/>
  <c r="H91" i="30" s="1"/>
  <c r="K37" i="30"/>
  <c r="L37" i="30" s="1"/>
  <c r="H37" i="30" s="1"/>
  <c r="K92" i="30"/>
  <c r="L92" i="30" s="1"/>
  <c r="H92" i="30" s="1"/>
  <c r="O92" i="30"/>
  <c r="W92" i="30" s="1"/>
  <c r="O96" i="30"/>
  <c r="K41" i="30"/>
  <c r="L41" i="30" s="1"/>
  <c r="H41" i="30" s="1"/>
  <c r="N90" i="30"/>
  <c r="M83" i="30"/>
  <c r="O15" i="30"/>
  <c r="M115" i="30"/>
  <c r="K90" i="30"/>
  <c r="L90" i="30" s="1"/>
  <c r="H90" i="30" s="1"/>
  <c r="K115" i="30"/>
  <c r="L115" i="30" s="1"/>
  <c r="H115" i="30" s="1"/>
  <c r="M33" i="30"/>
  <c r="M90" i="30"/>
  <c r="X90" i="30" s="1"/>
  <c r="X56" i="30"/>
  <c r="N56" i="30"/>
  <c r="L119" i="30"/>
  <c r="H119" i="30" s="1"/>
  <c r="K96" i="30"/>
  <c r="L96" i="30" s="1"/>
  <c r="H96" i="30" s="1"/>
  <c r="N86" i="30"/>
  <c r="N92" i="30"/>
  <c r="M108" i="30"/>
  <c r="V108" i="30" s="1"/>
  <c r="O37" i="30"/>
  <c r="K59" i="30"/>
  <c r="L59" i="30" s="1"/>
  <c r="H59" i="30" s="1"/>
  <c r="O116" i="30"/>
  <c r="O21" i="30"/>
  <c r="O41" i="30"/>
  <c r="Z41" i="30" s="1"/>
  <c r="N59" i="30"/>
  <c r="X46" i="30"/>
  <c r="Z46" i="30"/>
  <c r="W46" i="30"/>
  <c r="M19" i="30"/>
  <c r="AE43" i="19"/>
  <c r="AG43" i="19" s="1"/>
  <c r="L101" i="30"/>
  <c r="H101" i="30" s="1"/>
  <c r="L88" i="30"/>
  <c r="H88" i="30" s="1"/>
  <c r="L87" i="30"/>
  <c r="H87" i="30" s="1"/>
  <c r="J32" i="19"/>
  <c r="BZ32" i="19" s="1"/>
  <c r="O46" i="30"/>
  <c r="L54" i="30"/>
  <c r="H54" i="30" s="1"/>
  <c r="L36" i="30"/>
  <c r="H36" i="30" s="1"/>
  <c r="L33" i="30"/>
  <c r="H33" i="30" s="1"/>
  <c r="M79" i="30"/>
  <c r="N67" i="30"/>
  <c r="V67" i="30" s="1"/>
  <c r="N17" i="30"/>
  <c r="O79" i="30"/>
  <c r="O113" i="30"/>
  <c r="X113" i="30" s="1"/>
  <c r="N119" i="30"/>
  <c r="N79" i="30"/>
  <c r="Z79" i="30" s="1"/>
  <c r="M113" i="30"/>
  <c r="L28" i="30"/>
  <c r="H28" i="30" s="1"/>
  <c r="M119" i="30"/>
  <c r="N108" i="30"/>
  <c r="O20" i="30"/>
  <c r="W20" i="30" s="1"/>
  <c r="N65" i="30"/>
  <c r="O119" i="30"/>
  <c r="K108" i="30"/>
  <c r="L108" i="30" s="1"/>
  <c r="H108" i="30" s="1"/>
  <c r="H32" i="19"/>
  <c r="N41" i="30"/>
  <c r="N37" i="30"/>
  <c r="N125" i="30"/>
  <c r="N31" i="30"/>
  <c r="W31" i="30" s="1"/>
  <c r="Y46" i="30"/>
  <c r="K46" i="30"/>
  <c r="L46" i="30" s="1"/>
  <c r="H46" i="30" s="1"/>
  <c r="M125" i="30"/>
  <c r="K89" i="30"/>
  <c r="L89" i="30" s="1"/>
  <c r="H89" i="30" s="1"/>
  <c r="O89" i="30"/>
  <c r="V89" i="30" s="1"/>
  <c r="N18" i="30"/>
  <c r="V18" i="30"/>
  <c r="O111" i="30"/>
  <c r="K125" i="30"/>
  <c r="L125" i="30" s="1"/>
  <c r="H125" i="30" s="1"/>
  <c r="N12" i="30"/>
  <c r="M94" i="30"/>
  <c r="K12" i="30"/>
  <c r="L12" i="30" s="1"/>
  <c r="H12" i="30" s="1"/>
  <c r="N83" i="30"/>
  <c r="O33" i="30"/>
  <c r="W18" i="30"/>
  <c r="K67" i="30"/>
  <c r="L67" i="30" s="1"/>
  <c r="H67" i="30" s="1"/>
  <c r="O14" i="30"/>
  <c r="W14" i="30" s="1"/>
  <c r="M95" i="30"/>
  <c r="K40" i="30"/>
  <c r="L40" i="30" s="1"/>
  <c r="H40" i="30" s="1"/>
  <c r="H43" i="19"/>
  <c r="J43" i="19"/>
  <c r="BZ43" i="19" s="1"/>
  <c r="H54" i="19"/>
  <c r="N23" i="30"/>
  <c r="K95" i="30"/>
  <c r="L95" i="30" s="1"/>
  <c r="H95" i="30" s="1"/>
  <c r="M23" i="30"/>
  <c r="O95" i="30"/>
  <c r="K61" i="30"/>
  <c r="L61" i="30" s="1"/>
  <c r="H61" i="30" s="1"/>
  <c r="O61" i="30"/>
  <c r="M61" i="30"/>
  <c r="J54" i="19"/>
  <c r="BZ54" i="19" s="1"/>
  <c r="O23" i="30"/>
  <c r="AE54" i="19"/>
  <c r="AG54" i="19" s="1"/>
  <c r="L23" i="30"/>
  <c r="H23" i="30" s="1"/>
  <c r="O12" i="30"/>
  <c r="K14" i="30"/>
  <c r="L14" i="30" s="1"/>
  <c r="H14" i="30" s="1"/>
  <c r="N15" i="30"/>
  <c r="N14" i="30"/>
  <c r="M15" i="30"/>
  <c r="Y15" i="30" s="1"/>
  <c r="N33" i="30"/>
  <c r="M70" i="30"/>
  <c r="M107" i="30"/>
  <c r="O101" i="30"/>
  <c r="N40" i="30"/>
  <c r="W40" i="30" s="1"/>
  <c r="I54" i="30"/>
  <c r="M40" i="30"/>
  <c r="O70" i="30"/>
  <c r="O40" i="30"/>
  <c r="J23" i="19"/>
  <c r="AV23" i="19" s="1"/>
  <c r="N43" i="30"/>
  <c r="Y43" i="30" s="1"/>
  <c r="M101" i="30"/>
  <c r="O54" i="30"/>
  <c r="K70" i="30"/>
  <c r="L70" i="30" s="1"/>
  <c r="H70" i="30" s="1"/>
  <c r="O49" i="30"/>
  <c r="K107" i="30"/>
  <c r="L107" i="30" s="1"/>
  <c r="H107" i="30" s="1"/>
  <c r="M49" i="30"/>
  <c r="M43" i="30"/>
  <c r="K49" i="30"/>
  <c r="L49" i="30" s="1"/>
  <c r="H49" i="30" s="1"/>
  <c r="N77" i="30"/>
  <c r="K103" i="30"/>
  <c r="L103" i="30" s="1"/>
  <c r="H103" i="30" s="1"/>
  <c r="Z18" i="30"/>
  <c r="K43" i="30"/>
  <c r="L43" i="30" s="1"/>
  <c r="H43" i="30" s="1"/>
  <c r="O77" i="30"/>
  <c r="Z77" i="30" s="1"/>
  <c r="N101" i="30"/>
  <c r="M30" i="30"/>
  <c r="Z30" i="30" s="1"/>
  <c r="M103" i="30"/>
  <c r="O18" i="30"/>
  <c r="M93" i="30"/>
  <c r="N103" i="30"/>
  <c r="Y103" i="30" s="1"/>
  <c r="N115" i="30"/>
  <c r="X115" i="30" s="1"/>
  <c r="M77" i="30"/>
  <c r="O105" i="30"/>
  <c r="N117" i="30"/>
  <c r="Y18" i="30"/>
  <c r="K93" i="30"/>
  <c r="L93" i="30" s="1"/>
  <c r="H93" i="30" s="1"/>
  <c r="O107" i="30"/>
  <c r="Z107" i="30" s="1"/>
  <c r="O19" i="30"/>
  <c r="O17" i="30"/>
  <c r="Z17" i="30" s="1"/>
  <c r="K94" i="30"/>
  <c r="L94" i="30" s="1"/>
  <c r="H94" i="30" s="1"/>
  <c r="K17" i="30"/>
  <c r="L17" i="30" s="1"/>
  <c r="H17" i="30" s="1"/>
  <c r="K50" i="19"/>
  <c r="CA50" i="19" s="1"/>
  <c r="M54" i="30"/>
  <c r="M65" i="30"/>
  <c r="O31" i="30"/>
  <c r="N105" i="30"/>
  <c r="O117" i="30"/>
  <c r="H50" i="19"/>
  <c r="M89" i="30"/>
  <c r="K117" i="30"/>
  <c r="L117" i="30" s="1"/>
  <c r="H117" i="30" s="1"/>
  <c r="O93" i="30"/>
  <c r="M47" i="30"/>
  <c r="O65" i="30"/>
  <c r="Z65" i="30" s="1"/>
  <c r="K56" i="30"/>
  <c r="L56" i="30" s="1"/>
  <c r="H56" i="30" s="1"/>
  <c r="O30" i="30"/>
  <c r="N94" i="30"/>
  <c r="X94" i="30" s="1"/>
  <c r="N30" i="30"/>
  <c r="K20" i="30"/>
  <c r="L20" i="30" s="1"/>
  <c r="H20" i="30" s="1"/>
  <c r="N54" i="30"/>
  <c r="M105" i="30"/>
  <c r="Z105" i="30" s="1"/>
  <c r="O67" i="30"/>
  <c r="M31" i="30"/>
  <c r="N20" i="30"/>
  <c r="M56" i="30"/>
  <c r="K113" i="30"/>
  <c r="L113" i="30" s="1"/>
  <c r="H113" i="30" s="1"/>
  <c r="N116" i="30"/>
  <c r="K47" i="30"/>
  <c r="L47" i="30" s="1"/>
  <c r="H47" i="30" s="1"/>
  <c r="N47" i="30"/>
  <c r="M98" i="30"/>
  <c r="M46" i="30"/>
  <c r="O98" i="30"/>
  <c r="Y98" i="30" s="1"/>
  <c r="N16" i="30"/>
  <c r="W16" i="30" s="1"/>
  <c r="K116" i="30"/>
  <c r="L116" i="30" s="1"/>
  <c r="H116" i="30" s="1"/>
  <c r="O16" i="30"/>
  <c r="K16" i="30"/>
  <c r="L16" i="30" s="1"/>
  <c r="H16" i="30" s="1"/>
  <c r="K57" i="30"/>
  <c r="L57" i="30" s="1"/>
  <c r="H57" i="30" s="1"/>
  <c r="J49" i="19"/>
  <c r="BZ49" i="19" s="1"/>
  <c r="O126" i="30"/>
  <c r="N126" i="30"/>
  <c r="M126" i="30"/>
  <c r="X126" i="30" s="1"/>
  <c r="AE58" i="19"/>
  <c r="AG58" i="19" s="1"/>
  <c r="J58" i="19"/>
  <c r="BZ58" i="19" s="1"/>
  <c r="H46" i="19"/>
  <c r="AE46" i="19"/>
  <c r="AG46" i="19" s="1"/>
  <c r="M45" i="30"/>
  <c r="J45" i="19"/>
  <c r="BZ45" i="19" s="1"/>
  <c r="K45" i="30"/>
  <c r="O45" i="30"/>
  <c r="H41" i="19"/>
  <c r="J52" i="19"/>
  <c r="BZ52" i="19" s="1"/>
  <c r="H52" i="19"/>
  <c r="H55" i="19"/>
  <c r="J41" i="19"/>
  <c r="H61" i="19"/>
  <c r="J61" i="19"/>
  <c r="BZ61" i="19" s="1"/>
  <c r="H30" i="19"/>
  <c r="J51" i="19"/>
  <c r="BZ51" i="19" s="1"/>
  <c r="K34" i="30"/>
  <c r="L34" i="30" s="1"/>
  <c r="H34" i="30" s="1"/>
  <c r="M34" i="30"/>
  <c r="N34" i="30"/>
  <c r="K58" i="19"/>
  <c r="CA58" i="19" s="1"/>
  <c r="K49" i="19"/>
  <c r="J29" i="19"/>
  <c r="I126" i="30"/>
  <c r="M106" i="30"/>
  <c r="O63" i="30"/>
  <c r="N57" i="30"/>
  <c r="N106" i="30"/>
  <c r="Z106" i="30" s="1"/>
  <c r="K106" i="30"/>
  <c r="L106" i="30" s="1"/>
  <c r="H106" i="30" s="1"/>
  <c r="M57" i="30"/>
  <c r="X57" i="30" s="1"/>
  <c r="N26" i="30"/>
  <c r="H25" i="19"/>
  <c r="J25" i="19"/>
  <c r="H53" i="19"/>
  <c r="K44" i="30"/>
  <c r="L44" i="30" s="1"/>
  <c r="H44" i="30" s="1"/>
  <c r="N44" i="30"/>
  <c r="O26" i="30"/>
  <c r="Y26" i="30" s="1"/>
  <c r="K62" i="30"/>
  <c r="L62" i="30" s="1"/>
  <c r="H62" i="30" s="1"/>
  <c r="H51" i="19"/>
  <c r="H45" i="19"/>
  <c r="J46" i="19"/>
  <c r="K36" i="32" s="1"/>
  <c r="J55" i="19"/>
  <c r="BZ55" i="19" s="1"/>
  <c r="J47" i="19"/>
  <c r="N63" i="30"/>
  <c r="H47" i="19"/>
  <c r="AE48" i="19"/>
  <c r="AG48" i="19" s="1"/>
  <c r="K63" i="30"/>
  <c r="L63" i="30" s="1"/>
  <c r="H63" i="30" s="1"/>
  <c r="H40" i="19"/>
  <c r="J30" i="32" s="1"/>
  <c r="K118" i="30"/>
  <c r="L118" i="30" s="1"/>
  <c r="H118" i="30" s="1"/>
  <c r="K40" i="19"/>
  <c r="AW40" i="19" s="1"/>
  <c r="H37" i="19"/>
  <c r="J37" i="19"/>
  <c r="BZ37" i="19" s="1"/>
  <c r="J48" i="19"/>
  <c r="BZ48" i="19" s="1"/>
  <c r="K30" i="19"/>
  <c r="CA30" i="19" s="1"/>
  <c r="K48" i="19"/>
  <c r="CA48" i="19" s="1"/>
  <c r="J53" i="19"/>
  <c r="BZ53" i="19" s="1"/>
  <c r="H31" i="19"/>
  <c r="K102" i="30"/>
  <c r="L102" i="30" s="1"/>
  <c r="H102" i="30" s="1"/>
  <c r="O74" i="30"/>
  <c r="X74" i="30" s="1"/>
  <c r="O73" i="30"/>
  <c r="K73" i="30"/>
  <c r="L73" i="30" s="1"/>
  <c r="H73" i="30" s="1"/>
  <c r="N73" i="30"/>
  <c r="W73" i="30" s="1"/>
  <c r="K26" i="30"/>
  <c r="L26" i="30" s="1"/>
  <c r="H26" i="30" s="1"/>
  <c r="I102" i="30"/>
  <c r="V102" i="30"/>
  <c r="Z102" i="30"/>
  <c r="N102" i="30"/>
  <c r="K85" i="30"/>
  <c r="L85" i="30" s="1"/>
  <c r="H85" i="30" s="1"/>
  <c r="W76" i="30"/>
  <c r="V76" i="30"/>
  <c r="N74" i="30"/>
  <c r="M74" i="30"/>
  <c r="M62" i="30"/>
  <c r="M53" i="30"/>
  <c r="X47" i="30"/>
  <c r="Z47" i="30"/>
  <c r="V47" i="30"/>
  <c r="W47" i="30"/>
  <c r="O44" i="30"/>
  <c r="W44" i="30" s="1"/>
  <c r="K109" i="30"/>
  <c r="L109" i="30" s="1"/>
  <c r="H109" i="30" s="1"/>
  <c r="K29" i="19"/>
  <c r="CA29" i="19" s="1"/>
  <c r="O64" i="30"/>
  <c r="Y61" i="30"/>
  <c r="O104" i="30"/>
  <c r="W104" i="30" s="1"/>
  <c r="O71" i="30"/>
  <c r="O102" i="30"/>
  <c r="N104" i="30"/>
  <c r="M104" i="30"/>
  <c r="K130" i="30"/>
  <c r="L130" i="30" s="1"/>
  <c r="H130" i="30" s="1"/>
  <c r="K39" i="19"/>
  <c r="CA39" i="19" s="1"/>
  <c r="M38" i="30"/>
  <c r="J39" i="19"/>
  <c r="K27" i="30"/>
  <c r="L27" i="30" s="1"/>
  <c r="H27" i="30" s="1"/>
  <c r="O130" i="30"/>
  <c r="O38" i="30"/>
  <c r="Y38" i="30" s="1"/>
  <c r="M27" i="30"/>
  <c r="M109" i="30"/>
  <c r="N109" i="30"/>
  <c r="Z109" i="30" s="1"/>
  <c r="N27" i="30"/>
  <c r="N42" i="30"/>
  <c r="N38" i="30"/>
  <c r="X102" i="30"/>
  <c r="N85" i="30"/>
  <c r="V85" i="30" s="1"/>
  <c r="O85" i="30"/>
  <c r="M72" i="30"/>
  <c r="V72" i="30" s="1"/>
  <c r="K71" i="30"/>
  <c r="L71" i="30" s="1"/>
  <c r="H71" i="30" s="1"/>
  <c r="N71" i="30"/>
  <c r="N69" i="30"/>
  <c r="K69" i="30"/>
  <c r="L69" i="30" s="1"/>
  <c r="H69" i="30" s="1"/>
  <c r="O69" i="30"/>
  <c r="O68" i="30"/>
  <c r="W68" i="30" s="1"/>
  <c r="K68" i="30"/>
  <c r="L68" i="30" s="1"/>
  <c r="H68" i="30" s="1"/>
  <c r="N68" i="30"/>
  <c r="O62" i="30"/>
  <c r="Y62" i="30" s="1"/>
  <c r="O53" i="30"/>
  <c r="Z53" i="30" s="1"/>
  <c r="N53" i="30"/>
  <c r="Y32" i="30"/>
  <c r="M32" i="30"/>
  <c r="K32" i="30"/>
  <c r="L32" i="30" s="1"/>
  <c r="H32" i="30" s="1"/>
  <c r="X32" i="30"/>
  <c r="V32" i="30"/>
  <c r="W102" i="30"/>
  <c r="N32" i="30"/>
  <c r="W32" i="30"/>
  <c r="H42" i="19"/>
  <c r="J32" i="32" s="1"/>
  <c r="H62" i="19"/>
  <c r="AE59" i="19"/>
  <c r="AG59" i="19" s="1"/>
  <c r="H36" i="19"/>
  <c r="M130" i="30"/>
  <c r="N29" i="30"/>
  <c r="V61" i="30"/>
  <c r="K84" i="30"/>
  <c r="L84" i="30" s="1"/>
  <c r="H84" i="30" s="1"/>
  <c r="K22" i="19"/>
  <c r="CA22" i="19" s="1"/>
  <c r="K59" i="19"/>
  <c r="L49" i="32" s="1"/>
  <c r="J36" i="19"/>
  <c r="J59" i="19"/>
  <c r="AV59" i="19" s="1"/>
  <c r="J22" i="19"/>
  <c r="J62" i="19"/>
  <c r="AV62" i="19" s="1"/>
  <c r="J27" i="19"/>
  <c r="I130" i="30"/>
  <c r="O42" i="30"/>
  <c r="W61" i="30"/>
  <c r="Z61" i="30"/>
  <c r="M42" i="30"/>
  <c r="N75" i="30"/>
  <c r="M64" i="30"/>
  <c r="M87" i="30"/>
  <c r="J42" i="19"/>
  <c r="AV42" i="19" s="1"/>
  <c r="K64" i="30"/>
  <c r="L64" i="30" s="1"/>
  <c r="H64" i="30" s="1"/>
  <c r="N100" i="30"/>
  <c r="Y100" i="30" s="1"/>
  <c r="N99" i="30"/>
  <c r="M100" i="30"/>
  <c r="M97" i="30"/>
  <c r="O97" i="30"/>
  <c r="N118" i="30"/>
  <c r="M88" i="30"/>
  <c r="O100" i="30"/>
  <c r="N97" i="30"/>
  <c r="Z97" i="30" s="1"/>
  <c r="J28" i="19"/>
  <c r="AV28" i="19" s="1"/>
  <c r="M76" i="30"/>
  <c r="K28" i="19"/>
  <c r="AW28" i="19" s="1"/>
  <c r="O76" i="30"/>
  <c r="N114" i="30"/>
  <c r="Y76" i="30"/>
  <c r="K76" i="30"/>
  <c r="L76" i="30" s="1"/>
  <c r="H76" i="30" s="1"/>
  <c r="X76" i="30"/>
  <c r="O72" i="30"/>
  <c r="K72" i="30"/>
  <c r="L72" i="30" s="1"/>
  <c r="H72" i="30" s="1"/>
  <c r="H27" i="19"/>
  <c r="J31" i="19"/>
  <c r="BZ31" i="19" s="1"/>
  <c r="M36" i="30"/>
  <c r="N36" i="30"/>
  <c r="O88" i="30"/>
  <c r="N88" i="30"/>
  <c r="O118" i="30"/>
  <c r="I51" i="36"/>
  <c r="H60" i="19"/>
  <c r="K60" i="19"/>
  <c r="CA60" i="19" s="1"/>
  <c r="O36" i="30"/>
  <c r="O99" i="30"/>
  <c r="O87" i="30"/>
  <c r="N123" i="30"/>
  <c r="O29" i="30"/>
  <c r="X29" i="30" s="1"/>
  <c r="K82" i="30"/>
  <c r="L82" i="30" s="1"/>
  <c r="H82" i="30" s="1"/>
  <c r="O75" i="30"/>
  <c r="M75" i="30"/>
  <c r="Y75" i="30" s="1"/>
  <c r="M35" i="30"/>
  <c r="O35" i="30"/>
  <c r="X35" i="30" s="1"/>
  <c r="N124" i="30"/>
  <c r="O124" i="30"/>
  <c r="K124" i="30"/>
  <c r="L124" i="30" s="1"/>
  <c r="H124" i="30" s="1"/>
  <c r="M124" i="30"/>
  <c r="M82" i="30"/>
  <c r="N84" i="30"/>
  <c r="M84" i="30"/>
  <c r="X84" i="30" s="1"/>
  <c r="N35" i="30"/>
  <c r="N87" i="30"/>
  <c r="O114" i="30"/>
  <c r="K114" i="30"/>
  <c r="L114" i="30" s="1"/>
  <c r="H114" i="30" s="1"/>
  <c r="K99" i="30"/>
  <c r="L99" i="30" s="1"/>
  <c r="H99" i="30" s="1"/>
  <c r="K29" i="30"/>
  <c r="L29" i="30" s="1"/>
  <c r="H29" i="30" s="1"/>
  <c r="O123" i="30"/>
  <c r="K123" i="30"/>
  <c r="L123" i="30" s="1"/>
  <c r="H123" i="30" s="1"/>
  <c r="N121" i="30"/>
  <c r="Y121" i="30" s="1"/>
  <c r="K121" i="30"/>
  <c r="L121" i="30" s="1"/>
  <c r="H121" i="30" s="1"/>
  <c r="O121" i="30"/>
  <c r="M121" i="30"/>
  <c r="M80" i="30"/>
  <c r="K80" i="30"/>
  <c r="L80" i="30" s="1"/>
  <c r="H80" i="30" s="1"/>
  <c r="O80" i="30"/>
  <c r="N80" i="30"/>
  <c r="M55" i="30"/>
  <c r="O55" i="30"/>
  <c r="K55" i="30"/>
  <c r="L55" i="30" s="1"/>
  <c r="H55" i="30" s="1"/>
  <c r="N122" i="30"/>
  <c r="M122" i="30"/>
  <c r="K122" i="30"/>
  <c r="L122" i="30" s="1"/>
  <c r="H122" i="30" s="1"/>
  <c r="O122" i="30"/>
  <c r="Y122" i="30" s="1"/>
  <c r="K112" i="30"/>
  <c r="L112" i="30" s="1"/>
  <c r="H112" i="30" s="1"/>
  <c r="N112" i="30"/>
  <c r="O112" i="30"/>
  <c r="M129" i="30"/>
  <c r="N129" i="30"/>
  <c r="K129" i="30"/>
  <c r="L129" i="30" s="1"/>
  <c r="H129" i="30" s="1"/>
  <c r="O82" i="30"/>
  <c r="K57" i="19"/>
  <c r="H57" i="19"/>
  <c r="H38" i="19"/>
  <c r="J28" i="32" s="1"/>
  <c r="J38" i="19"/>
  <c r="AV38" i="19" s="1"/>
  <c r="M131" i="30"/>
  <c r="O58" i="30"/>
  <c r="M28" i="30"/>
  <c r="M58" i="30"/>
  <c r="M39" i="30"/>
  <c r="V39" i="30" s="1"/>
  <c r="N58" i="30"/>
  <c r="Z58" i="30" s="1"/>
  <c r="M50" i="30"/>
  <c r="N39" i="30"/>
  <c r="K39" i="30"/>
  <c r="L39" i="30" s="1"/>
  <c r="H39" i="30" s="1"/>
  <c r="N24" i="30"/>
  <c r="M24" i="30"/>
  <c r="K24" i="30"/>
  <c r="L24" i="30" s="1"/>
  <c r="H24" i="30" s="1"/>
  <c r="O24" i="30"/>
  <c r="Z96" i="30"/>
  <c r="Y96" i="30"/>
  <c r="X96" i="30"/>
  <c r="W96" i="30"/>
  <c r="V96" i="30"/>
  <c r="M110" i="30"/>
  <c r="N110" i="30"/>
  <c r="O110" i="30"/>
  <c r="W110" i="30" s="1"/>
  <c r="N51" i="30"/>
  <c r="M51" i="30"/>
  <c r="Y51" i="30" s="1"/>
  <c r="K51" i="30"/>
  <c r="L51" i="30" s="1"/>
  <c r="H51" i="30" s="1"/>
  <c r="O51" i="30"/>
  <c r="N28" i="30"/>
  <c r="O13" i="30"/>
  <c r="N13" i="30"/>
  <c r="K13" i="30"/>
  <c r="L13" i="30" s="1"/>
  <c r="H13" i="30" s="1"/>
  <c r="M13" i="30"/>
  <c r="K56" i="19"/>
  <c r="H56" i="19"/>
  <c r="J56" i="19"/>
  <c r="BZ56" i="19" s="1"/>
  <c r="N22" i="30"/>
  <c r="K22" i="30"/>
  <c r="L22" i="30" s="1"/>
  <c r="H22" i="30" s="1"/>
  <c r="O22" i="30"/>
  <c r="M22" i="30"/>
  <c r="N78" i="30"/>
  <c r="O78" i="30"/>
  <c r="N52" i="30"/>
  <c r="X52" i="30" s="1"/>
  <c r="M52" i="30"/>
  <c r="K52" i="30"/>
  <c r="L52" i="30" s="1"/>
  <c r="H52" i="30" s="1"/>
  <c r="K26" i="19"/>
  <c r="CA26" i="19" s="1"/>
  <c r="H26" i="19"/>
  <c r="J26" i="19"/>
  <c r="M48" i="30"/>
  <c r="W48" i="30" s="1"/>
  <c r="O48" i="30"/>
  <c r="K48" i="30"/>
  <c r="L48" i="30" s="1"/>
  <c r="H48" i="30" s="1"/>
  <c r="N48" i="30"/>
  <c r="K78" i="30"/>
  <c r="L78" i="30" s="1"/>
  <c r="H78" i="30" s="1"/>
  <c r="O28" i="30"/>
  <c r="N60" i="30"/>
  <c r="O60" i="30"/>
  <c r="K60" i="30"/>
  <c r="L60" i="30" s="1"/>
  <c r="H60" i="30" s="1"/>
  <c r="M60" i="30"/>
  <c r="K66" i="30"/>
  <c r="L66" i="30" s="1"/>
  <c r="H66" i="30" s="1"/>
  <c r="M66" i="30"/>
  <c r="Y66" i="30" s="1"/>
  <c r="O66" i="30"/>
  <c r="N66" i="30"/>
  <c r="N25" i="30"/>
  <c r="O25" i="30"/>
  <c r="K25" i="30"/>
  <c r="L25" i="30" s="1"/>
  <c r="H25" i="30" s="1"/>
  <c r="K110" i="30"/>
  <c r="L110" i="30" s="1"/>
  <c r="H110" i="30" s="1"/>
  <c r="K35" i="19"/>
  <c r="CA35" i="19" s="1"/>
  <c r="J35" i="19"/>
  <c r="AV35" i="19" s="1"/>
  <c r="H35" i="19"/>
  <c r="J25" i="32" s="1"/>
  <c r="M78" i="30"/>
  <c r="V78" i="30" s="1"/>
  <c r="O131" i="30"/>
  <c r="K131" i="30"/>
  <c r="L131" i="30" s="1"/>
  <c r="H131" i="30" s="1"/>
  <c r="N131" i="30"/>
  <c r="O81" i="30"/>
  <c r="N81" i="30"/>
  <c r="K81" i="30"/>
  <c r="L81" i="30" s="1"/>
  <c r="H81" i="30" s="1"/>
  <c r="M81" i="30"/>
  <c r="V81" i="30" s="1"/>
  <c r="O50" i="30"/>
  <c r="K50" i="30"/>
  <c r="L50" i="30" s="1"/>
  <c r="H50" i="30" s="1"/>
  <c r="O120" i="30"/>
  <c r="K120" i="30"/>
  <c r="L120" i="30" s="1"/>
  <c r="H120" i="30" s="1"/>
  <c r="N120" i="30"/>
  <c r="M120" i="30"/>
  <c r="Z120" i="30" s="1"/>
  <c r="K16" i="16"/>
  <c r="P15" i="32"/>
  <c r="K36" i="16"/>
  <c r="P35" i="32"/>
  <c r="K32" i="16"/>
  <c r="P31" i="32"/>
  <c r="U31" i="32" s="1"/>
  <c r="K44" i="16"/>
  <c r="P43" i="32"/>
  <c r="U43" i="32" s="1"/>
  <c r="K22" i="16"/>
  <c r="P21" i="32"/>
  <c r="K26" i="16"/>
  <c r="P25" i="32"/>
  <c r="K45" i="16"/>
  <c r="P44" i="32"/>
  <c r="U44" i="32" s="1"/>
  <c r="K28" i="16"/>
  <c r="P27" i="32"/>
  <c r="L75" i="30"/>
  <c r="H75" i="30" s="1"/>
  <c r="L77" i="30"/>
  <c r="H77" i="30" s="1"/>
  <c r="K25" i="16"/>
  <c r="P24" i="32"/>
  <c r="K13" i="16"/>
  <c r="P12" i="32"/>
  <c r="K19" i="16"/>
  <c r="P18" i="32"/>
  <c r="K39" i="16"/>
  <c r="P38" i="32"/>
  <c r="U38" i="32" s="1"/>
  <c r="K23" i="16"/>
  <c r="P22" i="32"/>
  <c r="K38" i="16"/>
  <c r="P37" i="32"/>
  <c r="K33" i="16"/>
  <c r="P32" i="32"/>
  <c r="U32" i="32" s="1"/>
  <c r="K20" i="16"/>
  <c r="P19" i="32"/>
  <c r="K52" i="16"/>
  <c r="P51" i="32"/>
  <c r="U51" i="32" s="1"/>
  <c r="K47" i="16"/>
  <c r="P46" i="32"/>
  <c r="U46" i="32" s="1"/>
  <c r="K49" i="16"/>
  <c r="P48" i="32"/>
  <c r="U48" i="32" s="1"/>
  <c r="K18" i="16"/>
  <c r="P17" i="32"/>
  <c r="K29" i="16"/>
  <c r="P28" i="32"/>
  <c r="U28" i="32" s="1"/>
  <c r="K42" i="16"/>
  <c r="P41" i="32"/>
  <c r="U41" i="32" s="1"/>
  <c r="K34" i="16"/>
  <c r="P33" i="32"/>
  <c r="U33" i="32" s="1"/>
  <c r="K37" i="16"/>
  <c r="P36" i="32"/>
  <c r="U36" i="32" s="1"/>
  <c r="K17" i="16"/>
  <c r="P16" i="32"/>
  <c r="K35" i="16"/>
  <c r="P34" i="32"/>
  <c r="K50" i="16"/>
  <c r="P49" i="32"/>
  <c r="U49" i="32" s="1"/>
  <c r="K30" i="16"/>
  <c r="P29" i="32"/>
  <c r="K48" i="16"/>
  <c r="P47" i="32"/>
  <c r="U47" i="32" s="1"/>
  <c r="K43" i="16"/>
  <c r="P42" i="32"/>
  <c r="U42" i="32" s="1"/>
  <c r="K21" i="16"/>
  <c r="P20" i="32"/>
  <c r="L79" i="30"/>
  <c r="H79" i="30" s="1"/>
  <c r="K15" i="16"/>
  <c r="P14" i="32"/>
  <c r="U14" i="32" s="1"/>
  <c r="K14" i="16"/>
  <c r="P13" i="32"/>
  <c r="U13" i="32" s="1"/>
  <c r="K51" i="16"/>
  <c r="P50" i="32"/>
  <c r="U50" i="32" s="1"/>
  <c r="K27" i="16"/>
  <c r="P26" i="32"/>
  <c r="K24" i="16"/>
  <c r="P23" i="32"/>
  <c r="K31" i="16"/>
  <c r="P30" i="32"/>
  <c r="K41" i="16"/>
  <c r="P40" i="32"/>
  <c r="U40" i="32" s="1"/>
  <c r="K40" i="16"/>
  <c r="P39" i="32"/>
  <c r="U39" i="32" s="1"/>
  <c r="K46" i="16"/>
  <c r="P45" i="32"/>
  <c r="U45" i="32" s="1"/>
  <c r="A18" i="33"/>
  <c r="K19" i="33"/>
  <c r="H19" i="33" s="1" a="1"/>
  <c r="H19" i="33" s="1"/>
  <c r="A19" i="33" s="1"/>
  <c r="J19" i="33"/>
  <c r="I20" i="33" s="1"/>
  <c r="O19" i="33"/>
  <c r="N20" i="33" s="1"/>
  <c r="P19" i="33"/>
  <c r="M19" i="33" s="1" a="1"/>
  <c r="M19" i="33" s="1"/>
  <c r="S18" i="33"/>
  <c r="B18" i="33"/>
  <c r="T18" i="33"/>
  <c r="R18" i="33"/>
  <c r="U18" i="33"/>
  <c r="B2" i="36"/>
  <c r="B25" i="22" a="1"/>
  <c r="B25" i="22" s="1"/>
  <c r="N55" i="19"/>
  <c r="AE55" i="19"/>
  <c r="AG55" i="19" s="1"/>
  <c r="N29" i="19"/>
  <c r="N38" i="19"/>
  <c r="AE38" i="19"/>
  <c r="AG38" i="19" s="1"/>
  <c r="N28" i="19"/>
  <c r="AE28" i="19"/>
  <c r="N53" i="19"/>
  <c r="AE53" i="19"/>
  <c r="AG53" i="19" s="1"/>
  <c r="N32" i="19"/>
  <c r="AE32" i="19"/>
  <c r="N30" i="19"/>
  <c r="N62" i="19"/>
  <c r="AE62" i="19"/>
  <c r="AG62" i="19" s="1"/>
  <c r="N22" i="19"/>
  <c r="N42" i="19"/>
  <c r="AE42" i="19"/>
  <c r="AG42" i="19" s="1"/>
  <c r="N36" i="19"/>
  <c r="N23" i="19"/>
  <c r="AE23" i="19"/>
  <c r="AG23" i="19" s="1"/>
  <c r="N41" i="19"/>
  <c r="AE41" i="19"/>
  <c r="AG41" i="19" s="1"/>
  <c r="N47" i="19"/>
  <c r="N49" i="19"/>
  <c r="AE49" i="19"/>
  <c r="AG49" i="19" s="1"/>
  <c r="N60" i="19"/>
  <c r="AE60" i="19"/>
  <c r="AG60" i="19" s="1"/>
  <c r="N39" i="19"/>
  <c r="N52" i="19"/>
  <c r="AE52" i="19"/>
  <c r="AG52" i="19" s="1"/>
  <c r="N27" i="19"/>
  <c r="N24" i="19"/>
  <c r="AE24" i="19"/>
  <c r="AG24" i="19" s="1"/>
  <c r="N37" i="19"/>
  <c r="AE37" i="19"/>
  <c r="N61" i="19"/>
  <c r="AE61" i="19"/>
  <c r="AG61" i="19" s="1"/>
  <c r="N50" i="19"/>
  <c r="AE50" i="19"/>
  <c r="AG50" i="19" s="1"/>
  <c r="N56" i="19"/>
  <c r="AE56" i="19"/>
  <c r="AG56" i="19" s="1"/>
  <c r="N57" i="19"/>
  <c r="AE57" i="19"/>
  <c r="AG57" i="19" s="1"/>
  <c r="N33" i="19"/>
  <c r="AE33" i="19"/>
  <c r="N51" i="19"/>
  <c r="AE51" i="19"/>
  <c r="AG51" i="19" s="1"/>
  <c r="N58" i="19"/>
  <c r="N43" i="19"/>
  <c r="N46" i="19"/>
  <c r="N48" i="19"/>
  <c r="N35" i="19"/>
  <c r="N40" i="19"/>
  <c r="N59" i="19"/>
  <c r="N54" i="19"/>
  <c r="N26" i="19"/>
  <c r="N44" i="19"/>
  <c r="N25" i="19"/>
  <c r="N34" i="19"/>
  <c r="N45" i="19"/>
  <c r="W4" i="18" a="1"/>
  <c r="W4" i="18" s="1"/>
  <c r="B24" i="22" a="1"/>
  <c r="B24" i="22" s="1"/>
  <c r="I12" i="30"/>
  <c r="I110" i="30"/>
  <c r="I13" i="30"/>
  <c r="I122" i="30"/>
  <c r="I92" i="30"/>
  <c r="I86" i="30"/>
  <c r="I121" i="30"/>
  <c r="I79" i="30"/>
  <c r="I49" i="30"/>
  <c r="I82" i="30"/>
  <c r="I52" i="30"/>
  <c r="I77" i="30"/>
  <c r="I25" i="30"/>
  <c r="I124" i="30"/>
  <c r="I125" i="30"/>
  <c r="I22" i="30"/>
  <c r="I67" i="30"/>
  <c r="I129" i="30"/>
  <c r="I119" i="30"/>
  <c r="I118" i="30"/>
  <c r="I117" i="30"/>
  <c r="I116" i="30"/>
  <c r="I115" i="30"/>
  <c r="I114" i="30"/>
  <c r="I113" i="30"/>
  <c r="I112" i="30"/>
  <c r="I111" i="30"/>
  <c r="I109" i="30"/>
  <c r="I107" i="30"/>
  <c r="I106" i="30"/>
  <c r="H105" i="30"/>
  <c r="I105" i="30"/>
  <c r="I104" i="30"/>
  <c r="I103" i="30"/>
  <c r="I101" i="30"/>
  <c r="I100" i="30"/>
  <c r="I99" i="30"/>
  <c r="I98" i="30"/>
  <c r="H97" i="30"/>
  <c r="I97" i="30"/>
  <c r="I96" i="30"/>
  <c r="I95" i="30"/>
  <c r="I94" i="30"/>
  <c r="I93" i="30"/>
  <c r="I91" i="30"/>
  <c r="I89" i="30"/>
  <c r="I88" i="30"/>
  <c r="I87" i="30"/>
  <c r="I85" i="30"/>
  <c r="I83" i="30"/>
  <c r="I80" i="30"/>
  <c r="I76" i="30"/>
  <c r="I74" i="30"/>
  <c r="I73" i="30"/>
  <c r="I72" i="30"/>
  <c r="I71" i="30"/>
  <c r="I70" i="30"/>
  <c r="I69" i="30"/>
  <c r="I68" i="30"/>
  <c r="I65" i="30"/>
  <c r="I64" i="30"/>
  <c r="I63" i="30"/>
  <c r="I62" i="30"/>
  <c r="I61" i="30"/>
  <c r="I59" i="30"/>
  <c r="I58" i="30"/>
  <c r="I57" i="30"/>
  <c r="I56" i="30"/>
  <c r="I55" i="30"/>
  <c r="H53" i="30"/>
  <c r="I53" i="30"/>
  <c r="I50" i="30"/>
  <c r="I47" i="30"/>
  <c r="I46" i="30"/>
  <c r="I45" i="30"/>
  <c r="I44" i="30"/>
  <c r="I43" i="30"/>
  <c r="I42" i="30"/>
  <c r="I41" i="30"/>
  <c r="I38" i="30"/>
  <c r="I37" i="30"/>
  <c r="I36" i="30"/>
  <c r="H35" i="30"/>
  <c r="I35" i="30"/>
  <c r="I34" i="30"/>
  <c r="I33" i="30"/>
  <c r="I32" i="30"/>
  <c r="I31" i="30"/>
  <c r="I30" i="30"/>
  <c r="I29" i="30"/>
  <c r="I28" i="30"/>
  <c r="I27" i="30"/>
  <c r="I26" i="30"/>
  <c r="I23" i="30"/>
  <c r="I20" i="30"/>
  <c r="H19" i="30"/>
  <c r="I19" i="30"/>
  <c r="I18" i="30"/>
  <c r="I17" i="30"/>
  <c r="I16" i="30"/>
  <c r="I15" i="30"/>
  <c r="I24" i="30"/>
  <c r="I84" i="30"/>
  <c r="I39" i="30"/>
  <c r="I120" i="30"/>
  <c r="I75" i="30"/>
  <c r="I14" i="30"/>
  <c r="I66" i="30"/>
  <c r="I48" i="30"/>
  <c r="I108" i="30"/>
  <c r="I90" i="30"/>
  <c r="I21" i="30"/>
  <c r="I51" i="30"/>
  <c r="I81" i="30"/>
  <c r="I78" i="30"/>
  <c r="I123" i="30"/>
  <c r="A57" i="32"/>
  <c r="Q49" i="34"/>
  <c r="V49" i="34" s="1"/>
  <c r="I49" i="34"/>
  <c r="U49" i="34"/>
  <c r="U51" i="34" s="1"/>
  <c r="T49" i="34"/>
  <c r="Y49" i="34" s="1"/>
  <c r="R49" i="34"/>
  <c r="W49" i="34" s="1"/>
  <c r="S49" i="34"/>
  <c r="X49" i="34" s="1"/>
  <c r="U49" i="7"/>
  <c r="U51" i="7" s="1"/>
  <c r="R49" i="7"/>
  <c r="W49" i="7" s="1"/>
  <c r="S49" i="7"/>
  <c r="X49" i="7" s="1"/>
  <c r="T49" i="7"/>
  <c r="Y49" i="7" s="1"/>
  <c r="Q49" i="7"/>
  <c r="V49" i="7" s="1"/>
  <c r="I49" i="7"/>
  <c r="G13" i="6"/>
  <c r="G12" i="6"/>
  <c r="L42" i="30" s="1"/>
  <c r="AS69" i="19"/>
  <c r="AR69" i="19"/>
  <c r="B2" i="34"/>
  <c r="B2" i="35"/>
  <c r="D49" i="19"/>
  <c r="BG49" i="19" s="1" a="1"/>
  <c r="BG49" i="19" s="1"/>
  <c r="D61" i="19"/>
  <c r="BG61" i="19" s="1" a="1"/>
  <c r="BG61" i="19" s="1"/>
  <c r="AW46" i="19"/>
  <c r="D55" i="19"/>
  <c r="BG55" i="19" s="1" a="1"/>
  <c r="BG55" i="19" s="1"/>
  <c r="D37" i="19"/>
  <c r="BG37" i="19" s="1" a="1"/>
  <c r="BG37" i="19" s="1"/>
  <c r="D53" i="19"/>
  <c r="BG53" i="19" s="1" a="1"/>
  <c r="BG53" i="19" s="1"/>
  <c r="D32" i="19"/>
  <c r="BG32" i="19" s="1" a="1"/>
  <c r="BG32" i="19" s="1"/>
  <c r="D60" i="19"/>
  <c r="BG60" i="19" s="1" a="1"/>
  <c r="BG60" i="19" s="1"/>
  <c r="B29" i="16"/>
  <c r="I29" i="16" s="1"/>
  <c r="D38" i="19"/>
  <c r="BG38" i="19" s="1" a="1"/>
  <c r="BG38" i="19" s="1"/>
  <c r="D52" i="19"/>
  <c r="BG52" i="19" s="1" a="1"/>
  <c r="BG52" i="19" s="1"/>
  <c r="B50" i="16"/>
  <c r="D33" i="19"/>
  <c r="BG33" i="19" s="1" a="1"/>
  <c r="BG33" i="19" s="1"/>
  <c r="D50" i="19"/>
  <c r="BG50" i="19" s="1" a="1"/>
  <c r="BG50" i="19" s="1"/>
  <c r="D24" i="19"/>
  <c r="BG24" i="19" s="1" a="1"/>
  <c r="BG24" i="19" s="1"/>
  <c r="D30" i="19"/>
  <c r="D28" i="19"/>
  <c r="BG28" i="19" s="1" a="1"/>
  <c r="BG28" i="19" s="1"/>
  <c r="D62" i="19"/>
  <c r="BG62" i="19" s="1" a="1"/>
  <c r="BG62" i="19" s="1"/>
  <c r="D47" i="19"/>
  <c r="BG47" i="19" s="1" a="1"/>
  <c r="BG47" i="19" s="1"/>
  <c r="D36" i="19"/>
  <c r="BG36" i="19" s="1" a="1"/>
  <c r="BG36" i="19" s="1"/>
  <c r="B14" i="16"/>
  <c r="I14" i="16" s="1"/>
  <c r="D23" i="19"/>
  <c r="BG23" i="19" s="1" a="1"/>
  <c r="BG23" i="19" s="1"/>
  <c r="B33" i="16"/>
  <c r="I33" i="16" s="1"/>
  <c r="D42" i="19"/>
  <c r="BG42" i="19" s="1" a="1"/>
  <c r="BG42" i="19" s="1"/>
  <c r="H38" i="30"/>
  <c r="H15" i="30"/>
  <c r="D35" i="32"/>
  <c r="D36" i="32"/>
  <c r="C50" i="16"/>
  <c r="C15" i="16"/>
  <c r="C16" i="16"/>
  <c r="E13" i="32"/>
  <c r="E49" i="32"/>
  <c r="E32" i="32"/>
  <c r="E30" i="32"/>
  <c r="E18" i="32"/>
  <c r="B31" i="16"/>
  <c r="I31" i="16" s="1"/>
  <c r="B19" i="16"/>
  <c r="I19" i="16" s="1"/>
  <c r="D40" i="32"/>
  <c r="AF38" i="19"/>
  <c r="E28" i="32"/>
  <c r="D50" i="32"/>
  <c r="B15" i="16"/>
  <c r="I15" i="16" s="1"/>
  <c r="E14" i="32"/>
  <c r="B45" i="16"/>
  <c r="I45" i="16" s="1"/>
  <c r="E44" i="32"/>
  <c r="C30" i="16"/>
  <c r="D29" i="32"/>
  <c r="C22" i="16"/>
  <c r="D21" i="32"/>
  <c r="J51" i="16"/>
  <c r="B37" i="16"/>
  <c r="I37" i="16" s="1"/>
  <c r="E36" i="32"/>
  <c r="D31" i="32"/>
  <c r="C32" i="16"/>
  <c r="B38" i="16"/>
  <c r="E37" i="32"/>
  <c r="D42" i="32"/>
  <c r="C43" i="16"/>
  <c r="D22" i="32"/>
  <c r="C23" i="16"/>
  <c r="C35" i="16"/>
  <c r="D34" i="32"/>
  <c r="B18" i="16"/>
  <c r="E17" i="32"/>
  <c r="C40" i="16"/>
  <c r="D39" i="32"/>
  <c r="B28" i="16"/>
  <c r="I28" i="16" s="1"/>
  <c r="E27" i="32"/>
  <c r="C17" i="16"/>
  <c r="D16" i="32"/>
  <c r="B26" i="16"/>
  <c r="I26" i="16" s="1"/>
  <c r="E25" i="32"/>
  <c r="B17" i="16"/>
  <c r="E16" i="32"/>
  <c r="B41" i="16"/>
  <c r="I41" i="16" s="1"/>
  <c r="E40" i="32"/>
  <c r="B32" i="16"/>
  <c r="E31" i="32"/>
  <c r="C34" i="16"/>
  <c r="D33" i="32"/>
  <c r="C25" i="16"/>
  <c r="D24" i="32"/>
  <c r="B21" i="16"/>
  <c r="E20" i="32"/>
  <c r="C44" i="16"/>
  <c r="D43" i="32"/>
  <c r="B47" i="16"/>
  <c r="E46" i="32"/>
  <c r="B40" i="16"/>
  <c r="E39" i="32"/>
  <c r="E12" i="32"/>
  <c r="B13" i="16"/>
  <c r="B36" i="16"/>
  <c r="I36" i="16" s="1"/>
  <c r="E35" i="32"/>
  <c r="B27" i="16"/>
  <c r="E26" i="32"/>
  <c r="C26" i="16"/>
  <c r="D25" i="32"/>
  <c r="B44" i="16"/>
  <c r="I44" i="16" s="1"/>
  <c r="E43" i="32"/>
  <c r="C49" i="16"/>
  <c r="D48" i="32"/>
  <c r="E22" i="32"/>
  <c r="B23" i="16"/>
  <c r="I23" i="16" s="1"/>
  <c r="C45" i="16"/>
  <c r="D44" i="32"/>
  <c r="B46" i="16"/>
  <c r="I46" i="16" s="1"/>
  <c r="E45" i="32"/>
  <c r="E51" i="32"/>
  <c r="B52" i="16"/>
  <c r="I52" i="16" s="1"/>
  <c r="C31" i="16"/>
  <c r="D30" i="32"/>
  <c r="C46" i="16"/>
  <c r="D45" i="32"/>
  <c r="J52" i="16"/>
  <c r="C18" i="16"/>
  <c r="D17" i="32"/>
  <c r="B49" i="16"/>
  <c r="I49" i="16" s="1"/>
  <c r="E48" i="32"/>
  <c r="C39" i="16"/>
  <c r="D38" i="32"/>
  <c r="C42" i="16"/>
  <c r="D41" i="32"/>
  <c r="B25" i="16"/>
  <c r="I25" i="16" s="1"/>
  <c r="E24" i="32"/>
  <c r="C19" i="16"/>
  <c r="D18" i="32"/>
  <c r="C21" i="16"/>
  <c r="D20" i="32"/>
  <c r="B30" i="16"/>
  <c r="E29" i="32"/>
  <c r="C29" i="16"/>
  <c r="D28" i="32"/>
  <c r="B16" i="16"/>
  <c r="E15" i="32"/>
  <c r="B22" i="16"/>
  <c r="I22" i="16" s="1"/>
  <c r="E21" i="32"/>
  <c r="C28" i="16"/>
  <c r="D27" i="32"/>
  <c r="B51" i="16"/>
  <c r="I51" i="16" s="1"/>
  <c r="E50" i="32"/>
  <c r="D51" i="32"/>
  <c r="C52" i="16"/>
  <c r="B35" i="16"/>
  <c r="I35" i="16" s="1"/>
  <c r="E34" i="32"/>
  <c r="C14" i="16"/>
  <c r="D13" i="32"/>
  <c r="C24" i="16"/>
  <c r="D23" i="32"/>
  <c r="E42" i="32"/>
  <c r="B43" i="16"/>
  <c r="I43" i="16" s="1"/>
  <c r="C38" i="16"/>
  <c r="D37" i="32"/>
  <c r="C47" i="16"/>
  <c r="D46" i="32"/>
  <c r="B34" i="16"/>
  <c r="I34" i="16" s="1"/>
  <c r="E33" i="32"/>
  <c r="C20" i="16"/>
  <c r="D19" i="32"/>
  <c r="D12" i="32"/>
  <c r="C13" i="16"/>
  <c r="B39" i="16"/>
  <c r="I39" i="16" s="1"/>
  <c r="E38" i="32"/>
  <c r="C27" i="16"/>
  <c r="D26" i="32"/>
  <c r="B24" i="16"/>
  <c r="I24" i="16" s="1"/>
  <c r="E23" i="32"/>
  <c r="B48" i="16"/>
  <c r="E47" i="32"/>
  <c r="C48" i="16"/>
  <c r="D47" i="32"/>
  <c r="B42" i="16"/>
  <c r="E41" i="32"/>
  <c r="B20" i="16"/>
  <c r="E19" i="32"/>
  <c r="D32" i="32"/>
  <c r="C33" i="16"/>
  <c r="AF60" i="19"/>
  <c r="AF62" i="19"/>
  <c r="AF61" i="19"/>
  <c r="A5" i="37" a="1"/>
  <c r="A5" i="37" s="1"/>
  <c r="A4" i="37" a="1"/>
  <c r="A4" i="37" s="1"/>
  <c r="AI60" i="19"/>
  <c r="F22" i="19"/>
  <c r="E12" i="30"/>
  <c r="Q12" i="30" s="1"/>
  <c r="F28" i="19"/>
  <c r="E9" i="39" a="1"/>
  <c r="E9" i="39" s="1"/>
  <c r="E26" i="39" a="1"/>
  <c r="E26" i="39" s="1"/>
  <c r="E4" i="39" a="1"/>
  <c r="E4" i="39" s="1"/>
  <c r="E41" i="39" a="1"/>
  <c r="E41" i="39" s="1"/>
  <c r="E38" i="39" a="1"/>
  <c r="E38" i="39" s="1"/>
  <c r="E16" i="39" a="1"/>
  <c r="E16" i="39" s="1"/>
  <c r="F16" i="39" s="1" a="1"/>
  <c r="F16" i="39" s="1"/>
  <c r="E33" i="39" a="1"/>
  <c r="E33" i="39" s="1"/>
  <c r="E31" i="39" a="1"/>
  <c r="E31" i="39" s="1"/>
  <c r="E28" i="39" a="1"/>
  <c r="E28" i="39" s="1"/>
  <c r="E6" i="39" a="1"/>
  <c r="E6" i="39" s="1"/>
  <c r="E23" i="39" a="1"/>
  <c r="E23" i="39" s="1"/>
  <c r="E21" i="39" a="1"/>
  <c r="E21" i="39" s="1"/>
  <c r="E18" i="39" a="1"/>
  <c r="E18" i="39" s="1"/>
  <c r="E35" i="39" a="1"/>
  <c r="E35" i="39" s="1"/>
  <c r="E13" i="39" a="1"/>
  <c r="E13" i="39" s="1"/>
  <c r="E11" i="39" a="1"/>
  <c r="E11" i="39" s="1"/>
  <c r="E8" i="39" a="1"/>
  <c r="E8" i="39" s="1"/>
  <c r="E25" i="39" a="1"/>
  <c r="E25" i="39" s="1"/>
  <c r="E3" i="39" a="1"/>
  <c r="E3" i="39" s="1"/>
  <c r="E40" i="39" a="1"/>
  <c r="E40" i="39" s="1"/>
  <c r="E37" i="39" a="1"/>
  <c r="E37" i="39" s="1"/>
  <c r="E15" i="39" a="1"/>
  <c r="E15" i="39" s="1"/>
  <c r="E42" i="39" a="1"/>
  <c r="E42" i="39" s="1"/>
  <c r="E30" i="39" a="1"/>
  <c r="E30" i="39" s="1"/>
  <c r="E27" i="39" a="1"/>
  <c r="E27" i="39" s="1"/>
  <c r="E5" i="39" a="1"/>
  <c r="E5" i="39" s="1"/>
  <c r="E32" i="39" a="1"/>
  <c r="E32" i="39" s="1"/>
  <c r="E20" i="39" a="1"/>
  <c r="E20" i="39" s="1"/>
  <c r="E39" i="39" a="1"/>
  <c r="E39" i="39" s="1"/>
  <c r="E17" i="39" a="1"/>
  <c r="E17" i="39" s="1"/>
  <c r="E34" i="39" a="1"/>
  <c r="E34" i="39" s="1"/>
  <c r="E22" i="39" a="1"/>
  <c r="E22" i="39" s="1"/>
  <c r="E10" i="39" a="1"/>
  <c r="E10" i="39" s="1"/>
  <c r="E29" i="39" a="1"/>
  <c r="E29" i="39" s="1"/>
  <c r="E7" i="39" a="1"/>
  <c r="E7" i="39" s="1"/>
  <c r="E24" i="39" a="1"/>
  <c r="E24" i="39" s="1"/>
  <c r="E12" i="39" a="1"/>
  <c r="E12" i="39" s="1"/>
  <c r="E19" i="39" a="1"/>
  <c r="E19" i="39" s="1"/>
  <c r="E36" i="39" a="1"/>
  <c r="E36" i="39" s="1"/>
  <c r="E14" i="39" a="1"/>
  <c r="E14" i="39" s="1"/>
  <c r="E2" i="39" a="1"/>
  <c r="E2" i="39" s="1"/>
  <c r="AI61" i="19"/>
  <c r="F20" i="30"/>
  <c r="G20" i="30" s="1"/>
  <c r="A24" i="38" a="1"/>
  <c r="A24" i="38" s="1"/>
  <c r="F24" i="38" s="1" a="1"/>
  <c r="F24" i="38" s="1"/>
  <c r="A5" i="38" a="1"/>
  <c r="A5" i="38" s="1"/>
  <c r="F5" i="38" s="1" a="1"/>
  <c r="F5" i="38" s="1"/>
  <c r="A16" i="38" a="1"/>
  <c r="A16" i="38" s="1"/>
  <c r="F16" i="38" s="1" a="1"/>
  <c r="F16" i="38" s="1"/>
  <c r="A29" i="38" a="1"/>
  <c r="A29" i="38" s="1"/>
  <c r="F29" i="38" s="1" a="1"/>
  <c r="F29" i="38" s="1"/>
  <c r="A28" i="38" a="1"/>
  <c r="A28" i="38" s="1"/>
  <c r="F28" i="38" s="1" a="1"/>
  <c r="F28" i="38" s="1"/>
  <c r="A8" i="38" a="1"/>
  <c r="A8" i="38" s="1"/>
  <c r="F8" i="38" s="1" a="1"/>
  <c r="F8" i="38" s="1"/>
  <c r="A6" i="38" a="1"/>
  <c r="A6" i="38" s="1"/>
  <c r="F6" i="38" s="1" a="1"/>
  <c r="F6" i="38" s="1"/>
  <c r="A19" i="38" a="1"/>
  <c r="A19" i="38" s="1"/>
  <c r="F19" i="38" s="1" a="1"/>
  <c r="F19" i="38" s="1"/>
  <c r="A11" i="38" a="1"/>
  <c r="A11" i="38" s="1"/>
  <c r="F11" i="38" s="1" a="1"/>
  <c r="F11" i="38" s="1"/>
  <c r="A15" i="38" a="1"/>
  <c r="A15" i="38" s="1"/>
  <c r="F15" i="38" s="1" a="1"/>
  <c r="F15" i="38" s="1"/>
  <c r="A9" i="38" a="1"/>
  <c r="A9" i="38" s="1"/>
  <c r="F9" i="38" s="1" a="1"/>
  <c r="F9" i="38" s="1"/>
  <c r="A4" i="38" a="1"/>
  <c r="A4" i="38" s="1"/>
  <c r="F4" i="38" s="1" a="1"/>
  <c r="F4" i="38" s="1"/>
  <c r="A7" i="38" a="1"/>
  <c r="A7" i="38" s="1"/>
  <c r="F7" i="38" s="1" a="1"/>
  <c r="F7" i="38" s="1"/>
  <c r="A30" i="38" a="1"/>
  <c r="A30" i="38" s="1"/>
  <c r="F30" i="38" s="1" a="1"/>
  <c r="F30" i="38" s="1"/>
  <c r="A27" i="38" a="1"/>
  <c r="A27" i="38" s="1"/>
  <c r="F27" i="38" s="1" a="1"/>
  <c r="F27" i="38" s="1"/>
  <c r="A31" i="38" a="1"/>
  <c r="A31" i="38" s="1"/>
  <c r="F31" i="38" s="1" a="1"/>
  <c r="F31" i="38" s="1"/>
  <c r="A22" i="38" a="1"/>
  <c r="A22" i="38" s="1"/>
  <c r="F22" i="38" s="1" a="1"/>
  <c r="F22" i="38" s="1"/>
  <c r="A10" i="38" a="1"/>
  <c r="A10" i="38" s="1"/>
  <c r="F10" i="38" s="1" a="1"/>
  <c r="F10" i="38" s="1"/>
  <c r="A23" i="38" a="1"/>
  <c r="A23" i="38" s="1"/>
  <c r="F23" i="38" s="1" a="1"/>
  <c r="F23" i="38" s="1"/>
  <c r="A21" i="38" a="1"/>
  <c r="A21" i="38" s="1"/>
  <c r="F21" i="38" s="1" a="1"/>
  <c r="F21" i="38" s="1"/>
  <c r="A26" i="38" a="1"/>
  <c r="A26" i="38" s="1"/>
  <c r="F26" i="38" s="1" a="1"/>
  <c r="F26" i="38" s="1"/>
  <c r="A14" i="38" a="1"/>
  <c r="A14" i="38" s="1"/>
  <c r="F14" i="38" s="1" a="1"/>
  <c r="F14" i="38" s="1"/>
  <c r="A13" i="38" a="1"/>
  <c r="A13" i="38" s="1"/>
  <c r="F13" i="38" s="1" a="1"/>
  <c r="F13" i="38" s="1"/>
  <c r="A20" i="38" a="1"/>
  <c r="A20" i="38" s="1"/>
  <c r="F20" i="38" s="1" a="1"/>
  <c r="F20" i="38" s="1"/>
  <c r="A25" i="38" a="1"/>
  <c r="A25" i="38" s="1"/>
  <c r="F25" i="38" s="1" a="1"/>
  <c r="F25" i="38" s="1"/>
  <c r="A12" i="38" a="1"/>
  <c r="A12" i="38" s="1"/>
  <c r="F12" i="38" s="1" a="1"/>
  <c r="F12" i="38" s="1"/>
  <c r="A17" i="38" a="1"/>
  <c r="A17" i="38" s="1"/>
  <c r="F17" i="38" s="1" a="1"/>
  <c r="F17" i="38" s="1"/>
  <c r="A18" i="38" a="1"/>
  <c r="A18" i="38" s="1"/>
  <c r="F18" i="38" s="1" a="1"/>
  <c r="F18" i="38" s="1"/>
  <c r="A2" i="38" a="1"/>
  <c r="A2" i="38" s="1"/>
  <c r="F2" i="38" s="1" a="1"/>
  <c r="F2" i="38" s="1"/>
  <c r="A3" i="38" a="1"/>
  <c r="A3" i="38" s="1"/>
  <c r="F3" i="38" s="1" a="1"/>
  <c r="F3" i="38" s="1"/>
  <c r="F40" i="30"/>
  <c r="G40" i="30" s="1"/>
  <c r="F52" i="19"/>
  <c r="H58" i="30"/>
  <c r="F34" i="30"/>
  <c r="G34" i="30" s="1"/>
  <c r="E17" i="30"/>
  <c r="E46" i="30"/>
  <c r="F43" i="19"/>
  <c r="F57" i="19"/>
  <c r="F94" i="30"/>
  <c r="G94" i="30" s="1"/>
  <c r="F24" i="19"/>
  <c r="F32" i="19"/>
  <c r="F29" i="19"/>
  <c r="F35" i="19"/>
  <c r="F47" i="19"/>
  <c r="F58" i="19"/>
  <c r="F47" i="30"/>
  <c r="G47" i="30" s="1"/>
  <c r="F42" i="19"/>
  <c r="F107" i="30"/>
  <c r="G107" i="30" s="1"/>
  <c r="E43" i="30"/>
  <c r="F34" i="19"/>
  <c r="F38" i="19"/>
  <c r="F53" i="19"/>
  <c r="F55" i="19"/>
  <c r="F37" i="19"/>
  <c r="F48" i="19"/>
  <c r="F40" i="19"/>
  <c r="E129" i="30"/>
  <c r="Q129" i="30" s="1"/>
  <c r="F54" i="30"/>
  <c r="E51" i="30"/>
  <c r="Q51" i="30" s="1"/>
  <c r="F39" i="19"/>
  <c r="E56" i="30"/>
  <c r="F45" i="19"/>
  <c r="F26" i="19"/>
  <c r="F41" i="19"/>
  <c r="F49" i="19"/>
  <c r="E52" i="30"/>
  <c r="F31" i="19"/>
  <c r="F36" i="19"/>
  <c r="H104" i="30"/>
  <c r="A3" i="37" a="1"/>
  <c r="A3" i="37" s="1"/>
  <c r="A2" i="37" a="1"/>
  <c r="A2" i="37" s="1"/>
  <c r="F74" i="30"/>
  <c r="G74" i="30" s="1"/>
  <c r="E49" i="30"/>
  <c r="E53" i="30"/>
  <c r="F80" i="30"/>
  <c r="G80" i="30" s="1"/>
  <c r="F51" i="19"/>
  <c r="F56" i="30"/>
  <c r="G56" i="30" s="1"/>
  <c r="F33" i="19"/>
  <c r="F82" i="30"/>
  <c r="G82" i="30" s="1"/>
  <c r="F41" i="30"/>
  <c r="G41" i="30" s="1"/>
  <c r="F65" i="30"/>
  <c r="G65" i="30" s="1"/>
  <c r="F93" i="30"/>
  <c r="E14" i="30"/>
  <c r="F56" i="19"/>
  <c r="F25" i="19"/>
  <c r="E120" i="30"/>
  <c r="Q120" i="30" s="1"/>
  <c r="F23" i="19"/>
  <c r="F21" i="30"/>
  <c r="H100" i="30"/>
  <c r="E80" i="30"/>
  <c r="F84" i="30"/>
  <c r="R84" i="30" s="1"/>
  <c r="F103" i="30"/>
  <c r="G103" i="30" s="1"/>
  <c r="E72" i="30"/>
  <c r="Q72" i="30" s="1"/>
  <c r="E131" i="30"/>
  <c r="E114" i="30"/>
  <c r="Q114" i="30" s="1"/>
  <c r="F122" i="30"/>
  <c r="G122" i="30" s="1"/>
  <c r="H74" i="30"/>
  <c r="E115" i="30"/>
  <c r="E111" i="30"/>
  <c r="Q111" i="30" s="1"/>
  <c r="E90" i="30"/>
  <c r="Q90" i="30" s="1"/>
  <c r="F44" i="19"/>
  <c r="AI62" i="19"/>
  <c r="E67" i="30"/>
  <c r="E116" i="30"/>
  <c r="E23" i="30"/>
  <c r="F13" i="30"/>
  <c r="G13" i="30" s="1"/>
  <c r="F19" i="30"/>
  <c r="G19" i="30" s="1"/>
  <c r="E35" i="30"/>
  <c r="F52" i="30"/>
  <c r="G52" i="30" s="1"/>
  <c r="F111" i="30"/>
  <c r="R111" i="30" s="1"/>
  <c r="F128" i="30"/>
  <c r="G128" i="30" s="1"/>
  <c r="E50" i="30"/>
  <c r="F121" i="30"/>
  <c r="G121" i="30" s="1"/>
  <c r="E57" i="30"/>
  <c r="Q57" i="30" s="1"/>
  <c r="F108" i="30"/>
  <c r="R108" i="30" s="1"/>
  <c r="F17" i="30"/>
  <c r="G17" i="30" s="1"/>
  <c r="E48" i="30"/>
  <c r="Q48" i="30" s="1"/>
  <c r="E117" i="30"/>
  <c r="Q117" i="30" s="1"/>
  <c r="E42" i="30"/>
  <c r="Q42" i="30" s="1"/>
  <c r="F60" i="30"/>
  <c r="R60" i="30" s="1"/>
  <c r="F119" i="30"/>
  <c r="G119" i="30" s="1"/>
  <c r="F85" i="30"/>
  <c r="G85" i="30" s="1"/>
  <c r="E30" i="30"/>
  <c r="Q30" i="30" s="1"/>
  <c r="F49" i="30"/>
  <c r="G49" i="30" s="1"/>
  <c r="E66" i="30"/>
  <c r="Q66" i="30" s="1"/>
  <c r="F79" i="30"/>
  <c r="G79" i="30" s="1"/>
  <c r="F76" i="30"/>
  <c r="G76" i="30" s="1"/>
  <c r="F105" i="30"/>
  <c r="R105" i="30" s="1"/>
  <c r="F30" i="19"/>
  <c r="H65" i="30"/>
  <c r="E79" i="30"/>
  <c r="E33" i="30"/>
  <c r="Q33" i="30" s="1"/>
  <c r="E93" i="30"/>
  <c r="Q93" i="30" s="1"/>
  <c r="E32" i="30"/>
  <c r="E38" i="30"/>
  <c r="F81" i="30"/>
  <c r="R81" i="30" s="1"/>
  <c r="F59" i="30"/>
  <c r="G59" i="30" s="1"/>
  <c r="F130" i="30"/>
  <c r="G130" i="30" s="1"/>
  <c r="F44" i="30"/>
  <c r="G44" i="30" s="1"/>
  <c r="E74" i="30"/>
  <c r="E77" i="30"/>
  <c r="F27" i="19"/>
  <c r="F15" i="30"/>
  <c r="R15" i="30" s="1"/>
  <c r="E118" i="30"/>
  <c r="F127" i="30"/>
  <c r="G127" i="30" s="1"/>
  <c r="E37" i="30"/>
  <c r="E21" i="30"/>
  <c r="Q21" i="30" s="1"/>
  <c r="F98" i="30"/>
  <c r="G98" i="30" s="1"/>
  <c r="F67" i="30"/>
  <c r="G67" i="30" s="1"/>
  <c r="F25" i="30"/>
  <c r="G25" i="30" s="1"/>
  <c r="F61" i="30"/>
  <c r="G61" i="30" s="1"/>
  <c r="F12" i="30"/>
  <c r="E92" i="30"/>
  <c r="E58" i="30"/>
  <c r="E107" i="30"/>
  <c r="F116" i="30"/>
  <c r="G116" i="30" s="1"/>
  <c r="F43" i="30"/>
  <c r="G43" i="30" s="1"/>
  <c r="E102" i="30"/>
  <c r="Q102" i="30" s="1"/>
  <c r="E123" i="30"/>
  <c r="Q123" i="30" s="1"/>
  <c r="E106" i="30"/>
  <c r="E41" i="30"/>
  <c r="F124" i="30"/>
  <c r="G124" i="30" s="1"/>
  <c r="F32" i="30"/>
  <c r="G32" i="30" s="1"/>
  <c r="F83" i="30"/>
  <c r="G83" i="30" s="1"/>
  <c r="E15" i="30"/>
  <c r="Q15" i="30" s="1"/>
  <c r="E22" i="30"/>
  <c r="F126" i="30"/>
  <c r="R126" i="30" s="1"/>
  <c r="F27" i="30"/>
  <c r="F23" i="30"/>
  <c r="G23" i="30" s="1"/>
  <c r="F110" i="30"/>
  <c r="G110" i="30" s="1"/>
  <c r="F35" i="30"/>
  <c r="G35" i="30" s="1"/>
  <c r="E29" i="30"/>
  <c r="E60" i="30"/>
  <c r="Q60" i="30" s="1"/>
  <c r="E97" i="30"/>
  <c r="E101" i="30"/>
  <c r="E64" i="30"/>
  <c r="F36" i="30"/>
  <c r="F88" i="30"/>
  <c r="G88" i="30" s="1"/>
  <c r="E73" i="30"/>
  <c r="F73" i="30"/>
  <c r="G73" i="30" s="1"/>
  <c r="F89" i="30"/>
  <c r="G89" i="30" s="1"/>
  <c r="E27" i="30"/>
  <c r="Q27" i="30" s="1"/>
  <c r="F101" i="30"/>
  <c r="G101" i="30" s="1"/>
  <c r="F118" i="30"/>
  <c r="G118" i="30" s="1"/>
  <c r="F100" i="30"/>
  <c r="G100" i="30" s="1"/>
  <c r="F30" i="30"/>
  <c r="R30" i="30" s="1"/>
  <c r="H31" i="30"/>
  <c r="E100" i="30"/>
  <c r="E39" i="30"/>
  <c r="Q39" i="30" s="1"/>
  <c r="F24" i="30"/>
  <c r="F31" i="30"/>
  <c r="G31" i="30" s="1"/>
  <c r="E83" i="30"/>
  <c r="F51" i="30"/>
  <c r="R51" i="30" s="1"/>
  <c r="F39" i="30"/>
  <c r="R39" i="30" s="1"/>
  <c r="E82" i="30"/>
  <c r="F114" i="30"/>
  <c r="F45" i="30"/>
  <c r="R45" i="30" s="1"/>
  <c r="F50" i="19"/>
  <c r="F64" i="30"/>
  <c r="G64" i="30" s="1"/>
  <c r="E69" i="30"/>
  <c r="Q69" i="30" s="1"/>
  <c r="E75" i="30"/>
  <c r="Q75" i="30" s="1"/>
  <c r="F71" i="30"/>
  <c r="G71" i="30" s="1"/>
  <c r="E99" i="30"/>
  <c r="Q99" i="30" s="1"/>
  <c r="F26" i="30"/>
  <c r="G26" i="30" s="1"/>
  <c r="E44" i="30"/>
  <c r="E126" i="30"/>
  <c r="Q126" i="30" s="1"/>
  <c r="E45" i="30"/>
  <c r="Q45" i="30" s="1"/>
  <c r="F38" i="30"/>
  <c r="G38" i="30" s="1"/>
  <c r="E18" i="30"/>
  <c r="Q18" i="30" s="1"/>
  <c r="E108" i="30"/>
  <c r="Q108" i="30" s="1"/>
  <c r="E59" i="30"/>
  <c r="E47" i="30"/>
  <c r="F97" i="30"/>
  <c r="G97" i="30" s="1"/>
  <c r="E78" i="30"/>
  <c r="Q78" i="30" s="1"/>
  <c r="F50" i="30"/>
  <c r="G50" i="30" s="1"/>
  <c r="F16" i="30"/>
  <c r="G16" i="30" s="1"/>
  <c r="E25" i="30"/>
  <c r="E71" i="30"/>
  <c r="F78" i="30"/>
  <c r="R78" i="30" s="1"/>
  <c r="E13" i="30"/>
  <c r="F53" i="30"/>
  <c r="G53" i="30" s="1"/>
  <c r="E96" i="30"/>
  <c r="Q96" i="30" s="1"/>
  <c r="E68" i="30"/>
  <c r="E65" i="30"/>
  <c r="F69" i="30"/>
  <c r="F117" i="30"/>
  <c r="E81" i="30"/>
  <c r="Q81" i="30" s="1"/>
  <c r="F87" i="30"/>
  <c r="E55" i="30"/>
  <c r="F129" i="30"/>
  <c r="R129" i="30" s="1"/>
  <c r="F131" i="30"/>
  <c r="G131" i="30" s="1"/>
  <c r="E125" i="30"/>
  <c r="E26" i="30"/>
  <c r="F75" i="30"/>
  <c r="R75" i="30" s="1"/>
  <c r="F104" i="30"/>
  <c r="G104" i="30" s="1"/>
  <c r="F42" i="30"/>
  <c r="F113" i="30"/>
  <c r="G113" i="30" s="1"/>
  <c r="E85" i="30"/>
  <c r="F22" i="30"/>
  <c r="G22" i="30" s="1"/>
  <c r="E86" i="30"/>
  <c r="E54" i="30"/>
  <c r="Q54" i="30" s="1"/>
  <c r="F109" i="30"/>
  <c r="G109" i="30" s="1"/>
  <c r="E119" i="30"/>
  <c r="E109" i="30"/>
  <c r="F48" i="30"/>
  <c r="R48" i="30" s="1"/>
  <c r="E89" i="30"/>
  <c r="F68" i="30"/>
  <c r="G68" i="30" s="1"/>
  <c r="F86" i="30"/>
  <c r="G86" i="30" s="1"/>
  <c r="F33" i="30"/>
  <c r="E63" i="30"/>
  <c r="Q63" i="30" s="1"/>
  <c r="E31" i="30"/>
  <c r="E103" i="30"/>
  <c r="F91" i="30"/>
  <c r="G91" i="30" s="1"/>
  <c r="F125" i="30"/>
  <c r="G125" i="30" s="1"/>
  <c r="E110" i="30"/>
  <c r="E87" i="30"/>
  <c r="Q87" i="30" s="1"/>
  <c r="F29" i="30"/>
  <c r="G29" i="30" s="1"/>
  <c r="E104" i="30"/>
  <c r="E91" i="30"/>
  <c r="F66" i="30"/>
  <c r="R66" i="30" s="1"/>
  <c r="E122" i="30"/>
  <c r="E19" i="30"/>
  <c r="F77" i="30"/>
  <c r="G77" i="30" s="1"/>
  <c r="E84" i="30"/>
  <c r="Q84" i="30" s="1"/>
  <c r="F95" i="30"/>
  <c r="G95" i="30" s="1"/>
  <c r="F55" i="30"/>
  <c r="G55" i="30" s="1"/>
  <c r="E112" i="30"/>
  <c r="F58" i="30"/>
  <c r="G58" i="30" s="1"/>
  <c r="F46" i="30"/>
  <c r="G46" i="30" s="1"/>
  <c r="F18" i="30"/>
  <c r="R18" i="30" s="1"/>
  <c r="F63" i="30"/>
  <c r="F60" i="19"/>
  <c r="F46" i="19"/>
  <c r="F61" i="19"/>
  <c r="F59" i="19"/>
  <c r="F54" i="19"/>
  <c r="F62" i="19"/>
  <c r="M62" i="19" s="1"/>
  <c r="F90" i="30"/>
  <c r="R90" i="30" s="1"/>
  <c r="F57" i="30"/>
  <c r="R57" i="30" s="1"/>
  <c r="E121" i="30"/>
  <c r="E98" i="30"/>
  <c r="E94" i="30"/>
  <c r="E128" i="30"/>
  <c r="F115" i="30"/>
  <c r="G115" i="30" s="1"/>
  <c r="E95" i="30"/>
  <c r="F102" i="30"/>
  <c r="R102" i="30" s="1"/>
  <c r="E34" i="30"/>
  <c r="E61" i="30"/>
  <c r="E16" i="30"/>
  <c r="E62" i="30"/>
  <c r="E127" i="30"/>
  <c r="F28" i="30"/>
  <c r="G28" i="30" s="1"/>
  <c r="F92" i="30"/>
  <c r="G92" i="30" s="1"/>
  <c r="F99" i="30"/>
  <c r="F96" i="30"/>
  <c r="R96" i="30" s="1"/>
  <c r="F37" i="30"/>
  <c r="G37" i="30" s="1"/>
  <c r="F14" i="30"/>
  <c r="G14" i="30" s="1"/>
  <c r="E40" i="30"/>
  <c r="F123" i="30"/>
  <c r="E24" i="30"/>
  <c r="Q24" i="30" s="1"/>
  <c r="E28" i="30"/>
  <c r="F62" i="30"/>
  <c r="G62" i="30" s="1"/>
  <c r="E105" i="30"/>
  <c r="Q105" i="30" s="1"/>
  <c r="E124" i="30"/>
  <c r="F70" i="30"/>
  <c r="G70" i="30" s="1"/>
  <c r="F106" i="30"/>
  <c r="G106" i="30" s="1"/>
  <c r="E36" i="30"/>
  <c r="Q36" i="30" s="1"/>
  <c r="E76" i="30"/>
  <c r="E70" i="30"/>
  <c r="E88" i="30"/>
  <c r="E130" i="30"/>
  <c r="E113" i="30"/>
  <c r="E20" i="30"/>
  <c r="F120" i="30"/>
  <c r="R120" i="30" s="1"/>
  <c r="F112" i="30"/>
  <c r="G112" i="30" s="1"/>
  <c r="F72" i="30"/>
  <c r="R72" i="30" s="1"/>
  <c r="B22" i="22" a="1"/>
  <c r="B22" i="22" s="1"/>
  <c r="A2" i="25"/>
  <c r="W49" i="30"/>
  <c r="Y49" i="30"/>
  <c r="V49" i="30"/>
  <c r="W82" i="30"/>
  <c r="Z49" i="30"/>
  <c r="X82" i="30"/>
  <c r="V82" i="30"/>
  <c r="Y82" i="30"/>
  <c r="Z82" i="30"/>
  <c r="X49" i="30"/>
  <c r="V130" i="30"/>
  <c r="Z130" i="30"/>
  <c r="Y130" i="30"/>
  <c r="W130" i="30"/>
  <c r="X130" i="30"/>
  <c r="X71" i="30"/>
  <c r="W23" i="30"/>
  <c r="Y12" i="30"/>
  <c r="Y99" i="30"/>
  <c r="X12" i="30"/>
  <c r="V63" i="30"/>
  <c r="Y123" i="30"/>
  <c r="Z125" i="30"/>
  <c r="V70" i="30"/>
  <c r="W33" i="30"/>
  <c r="Y55" i="30"/>
  <c r="X117" i="30"/>
  <c r="W64" i="30"/>
  <c r="X101" i="30"/>
  <c r="X95" i="30"/>
  <c r="X21" i="30"/>
  <c r="V117" i="30"/>
  <c r="V22" i="30"/>
  <c r="Y125" i="30"/>
  <c r="Y69" i="30"/>
  <c r="X70" i="30"/>
  <c r="Z117" i="30"/>
  <c r="X24" i="30"/>
  <c r="Z24" i="30"/>
  <c r="Y25" i="30"/>
  <c r="Y64" i="30"/>
  <c r="Z114" i="30"/>
  <c r="V37" i="30"/>
  <c r="V123" i="30"/>
  <c r="Y117" i="30"/>
  <c r="Z69" i="30"/>
  <c r="V69" i="30"/>
  <c r="V33" i="30"/>
  <c r="X4" i="18" a="1"/>
  <c r="W99" i="30"/>
  <c r="W55" i="30"/>
  <c r="X63" i="30"/>
  <c r="Y21" i="30"/>
  <c r="V114" i="30"/>
  <c r="X114" i="30"/>
  <c r="X55" i="30"/>
  <c r="Z55" i="30"/>
  <c r="X125" i="30"/>
  <c r="V13" i="30"/>
  <c r="X116" i="30"/>
  <c r="W123" i="30"/>
  <c r="V64" i="30"/>
  <c r="V36" i="30"/>
  <c r="V93" i="30"/>
  <c r="Z25" i="30"/>
  <c r="W63" i="30"/>
  <c r="V21" i="30"/>
  <c r="W114" i="30"/>
  <c r="Z34" i="30"/>
  <c r="V87" i="30"/>
  <c r="Z123" i="30"/>
  <c r="X123" i="30"/>
  <c r="Z119" i="30"/>
  <c r="Y114" i="30"/>
  <c r="X13" i="30"/>
  <c r="X119" i="30"/>
  <c r="Y13" i="30"/>
  <c r="X33" i="30"/>
  <c r="Y37" i="30"/>
  <c r="Y27" i="30"/>
  <c r="W37" i="30"/>
  <c r="W93" i="30"/>
  <c r="Z93" i="30"/>
  <c r="Z70" i="30"/>
  <c r="Z21" i="30"/>
  <c r="V125" i="30"/>
  <c r="X93" i="30"/>
  <c r="W116" i="30"/>
  <c r="Y119" i="30"/>
  <c r="Y33" i="30"/>
  <c r="W13" i="30"/>
  <c r="Y63" i="30"/>
  <c r="Z64" i="30"/>
  <c r="Z13" i="30"/>
  <c r="Z116" i="30"/>
  <c r="W70" i="30"/>
  <c r="X64" i="30"/>
  <c r="V116" i="30"/>
  <c r="Z63" i="30"/>
  <c r="W69" i="30"/>
  <c r="X124" i="30"/>
  <c r="X99" i="30"/>
  <c r="X37" i="30"/>
  <c r="Z12" i="30"/>
  <c r="Y93" i="30"/>
  <c r="V99" i="30"/>
  <c r="Z33" i="30"/>
  <c r="X69" i="30"/>
  <c r="V95" i="30"/>
  <c r="Y116" i="30"/>
  <c r="W119" i="30"/>
  <c r="Y95" i="30"/>
  <c r="W117" i="30"/>
  <c r="V118" i="30"/>
  <c r="V12" i="30"/>
  <c r="Z37" i="30"/>
  <c r="X54" i="30"/>
  <c r="W21" i="30"/>
  <c r="X25" i="30"/>
  <c r="Z95" i="30"/>
  <c r="W125" i="30"/>
  <c r="X88" i="30"/>
  <c r="W12" i="30"/>
  <c r="V55" i="30"/>
  <c r="Z99" i="30"/>
  <c r="Y70" i="30"/>
  <c r="AW38" i="19" l="1"/>
  <c r="I42" i="16"/>
  <c r="I13" i="16"/>
  <c r="I16" i="16"/>
  <c r="L13" i="32"/>
  <c r="I48" i="16"/>
  <c r="I38" i="16"/>
  <c r="I27" i="16"/>
  <c r="I20" i="16"/>
  <c r="I47" i="16"/>
  <c r="I32" i="16"/>
  <c r="I21" i="16"/>
  <c r="I17" i="16"/>
  <c r="I18" i="16"/>
  <c r="I30" i="16"/>
  <c r="I50" i="16"/>
  <c r="I40" i="16"/>
  <c r="D27" i="19"/>
  <c r="BG27" i="19" s="1" a="1"/>
  <c r="BG27" i="19" s="1"/>
  <c r="BP27" i="19" s="1"/>
  <c r="AA117" i="30" a="1"/>
  <c r="AA117" i="30" s="1"/>
  <c r="AA116" i="30" a="1"/>
  <c r="AA116" i="30" s="1"/>
  <c r="AA114" i="30" a="1"/>
  <c r="AA114" i="30" s="1"/>
  <c r="AA99" i="30" a="1"/>
  <c r="AA99" i="30" s="1"/>
  <c r="AA70" i="30" a="1"/>
  <c r="AA70" i="30" s="1"/>
  <c r="AA69" i="30" a="1"/>
  <c r="AA69" i="30" s="1"/>
  <c r="AA64" i="30" a="1"/>
  <c r="AA64" i="30" s="1"/>
  <c r="AA55" i="30" a="1"/>
  <c r="AA55" i="30" s="1"/>
  <c r="AA37" i="30" a="1"/>
  <c r="AA37" i="30" s="1"/>
  <c r="L32" i="32"/>
  <c r="L34" i="32"/>
  <c r="AV40" i="19"/>
  <c r="AW62" i="19"/>
  <c r="R42" i="30"/>
  <c r="BZ30" i="19"/>
  <c r="CN30" i="19" s="1" a="1"/>
  <c r="CN30" i="19" s="1"/>
  <c r="BG30" i="19" a="1"/>
  <c r="BG30" i="19" s="1"/>
  <c r="BP30" i="19" s="1"/>
  <c r="D29" i="19"/>
  <c r="BG29" i="19" s="1" a="1"/>
  <c r="BG29" i="19" s="1"/>
  <c r="BP29" i="19" s="1"/>
  <c r="D51" i="19"/>
  <c r="DE51" i="19" s="1" a="1"/>
  <c r="DE51" i="19" s="1"/>
  <c r="DF51" i="19" s="1"/>
  <c r="BW51" i="19" s="1"/>
  <c r="BZ36" i="19"/>
  <c r="CM36" i="19" s="1" a="1"/>
  <c r="CM36" i="19" s="1"/>
  <c r="BZ47" i="19"/>
  <c r="CL47" i="19" s="1" a="1"/>
  <c r="CL47" i="19" s="1"/>
  <c r="CA49" i="19"/>
  <c r="CS49" i="19" s="1" a="1"/>
  <c r="CS49" i="19" s="1"/>
  <c r="D56" i="19"/>
  <c r="BG56" i="19" s="1" a="1"/>
  <c r="BG56" i="19" s="1"/>
  <c r="BP56" i="19" s="1"/>
  <c r="D59" i="19"/>
  <c r="DA59" i="19" s="1" a="1"/>
  <c r="DA59" i="19" s="1"/>
  <c r="DB59" i="19" s="1"/>
  <c r="D41" i="19"/>
  <c r="CA41" i="19" s="1"/>
  <c r="D39" i="19"/>
  <c r="BK39" i="19" s="1" a="1"/>
  <c r="BK39" i="19" s="1"/>
  <c r="BT39" i="19" s="1"/>
  <c r="D57" i="19"/>
  <c r="BI57" i="19" s="1" a="1"/>
  <c r="BI57" i="19" s="1"/>
  <c r="BR57" i="19" s="1"/>
  <c r="BZ35" i="19"/>
  <c r="BZ23" i="19"/>
  <c r="BZ38" i="19"/>
  <c r="BZ62" i="19"/>
  <c r="BZ28" i="19"/>
  <c r="BZ42" i="19"/>
  <c r="CQ22" i="19" a="1"/>
  <c r="CQ22" i="19" s="1"/>
  <c r="CA40" i="19"/>
  <c r="CA28" i="19"/>
  <c r="BZ44" i="19"/>
  <c r="BZ46" i="19"/>
  <c r="BI38" i="19" a="1"/>
  <c r="BI38" i="19" s="1"/>
  <c r="BR38" i="19" s="1"/>
  <c r="BI53" i="19" a="1"/>
  <c r="BI53" i="19" s="1"/>
  <c r="BR53" i="19" s="1"/>
  <c r="BI32" i="19" a="1"/>
  <c r="BI32" i="19" s="1"/>
  <c r="BR32" i="19" s="1"/>
  <c r="BI62" i="19" a="1"/>
  <c r="BI62" i="19" s="1"/>
  <c r="BR62" i="19" s="1"/>
  <c r="BI52" i="19" a="1"/>
  <c r="BI52" i="19" s="1"/>
  <c r="BR52" i="19" s="1"/>
  <c r="BI33" i="19" a="1"/>
  <c r="BI33" i="19" s="1"/>
  <c r="BR33" i="19" s="1"/>
  <c r="BI30" i="19" a="1"/>
  <c r="BI30" i="19" s="1"/>
  <c r="BR30" i="19" s="1"/>
  <c r="BI23" i="19" a="1"/>
  <c r="BI23" i="19" s="1"/>
  <c r="BR23" i="19" s="1"/>
  <c r="BI28" i="19" a="1"/>
  <c r="BI28" i="19" s="1"/>
  <c r="BR28" i="19" s="1"/>
  <c r="BI37" i="19" a="1"/>
  <c r="BI37" i="19" s="1"/>
  <c r="BR37" i="19" s="1"/>
  <c r="BI55" i="19" a="1"/>
  <c r="BI55" i="19" s="1"/>
  <c r="BR55" i="19" s="1"/>
  <c r="BI36" i="19" a="1"/>
  <c r="BI36" i="19" s="1"/>
  <c r="BR36" i="19" s="1"/>
  <c r="BI60" i="19" a="1"/>
  <c r="BI60" i="19" s="1"/>
  <c r="BR60" i="19" s="1"/>
  <c r="BI58" i="19" a="1"/>
  <c r="BI58" i="19" s="1"/>
  <c r="BR58" i="19" s="1"/>
  <c r="BI42" i="19" a="1"/>
  <c r="BI42" i="19" s="1"/>
  <c r="BR42" i="19" s="1"/>
  <c r="BI50" i="19" a="1"/>
  <c r="BI50" i="19" s="1"/>
  <c r="BR50" i="19" s="1"/>
  <c r="BI49" i="19" a="1"/>
  <c r="BI49" i="19" s="1"/>
  <c r="BR49" i="19" s="1"/>
  <c r="BI47" i="19" a="1"/>
  <c r="BI47" i="19" s="1"/>
  <c r="BR47" i="19" s="1"/>
  <c r="BI24" i="19" a="1"/>
  <c r="BI24" i="19" s="1"/>
  <c r="BR24" i="19" s="1"/>
  <c r="BI61" i="19" a="1"/>
  <c r="BI61" i="19" s="1"/>
  <c r="BR61" i="19" s="1"/>
  <c r="BK50" i="19" a="1"/>
  <c r="BK50" i="19" s="1"/>
  <c r="BT50" i="19" s="1"/>
  <c r="CY50" i="19" a="1"/>
  <c r="CY50" i="19" s="1"/>
  <c r="BM50" i="19" a="1"/>
  <c r="BM50" i="19" s="1"/>
  <c r="BV50" i="19" s="1"/>
  <c r="DA50" i="19" a="1"/>
  <c r="DA50" i="19" s="1"/>
  <c r="DB50" i="19" s="1"/>
  <c r="DC50" i="19" a="1"/>
  <c r="DC50" i="19" s="1"/>
  <c r="DD50" i="19" s="1"/>
  <c r="BU50" i="19" s="1"/>
  <c r="DE50" i="19" a="1"/>
  <c r="DE50" i="19" s="1"/>
  <c r="DF50" i="19" s="1"/>
  <c r="BW50" i="19" s="1"/>
  <c r="BP50" i="19"/>
  <c r="CY49" i="19" a="1"/>
  <c r="CY49" i="19" s="1"/>
  <c r="BK49" i="19" a="1"/>
  <c r="BK49" i="19" s="1"/>
  <c r="BT49" i="19" s="1"/>
  <c r="BM49" i="19" a="1"/>
  <c r="BM49" i="19" s="1"/>
  <c r="BV49" i="19" s="1"/>
  <c r="DE49" i="19" a="1"/>
  <c r="DE49" i="19" s="1"/>
  <c r="DF49" i="19" s="1"/>
  <c r="BW49" i="19" s="1"/>
  <c r="DC49" i="19" a="1"/>
  <c r="DC49" i="19" s="1"/>
  <c r="DD49" i="19" s="1"/>
  <c r="BU49" i="19" s="1"/>
  <c r="DA49" i="19" a="1"/>
  <c r="DA49" i="19" s="1"/>
  <c r="DB49" i="19" s="1"/>
  <c r="BP49" i="19"/>
  <c r="DC62" i="19" a="1"/>
  <c r="DC62" i="19" s="1"/>
  <c r="DD62" i="19" s="1"/>
  <c r="BU62" i="19" s="1"/>
  <c r="DA62" i="19" a="1"/>
  <c r="DA62" i="19" s="1"/>
  <c r="DB62" i="19" s="1"/>
  <c r="BM62" i="19" a="1"/>
  <c r="BM62" i="19" s="1"/>
  <c r="BV62" i="19" s="1"/>
  <c r="CY62" i="19" a="1"/>
  <c r="CY62" i="19" s="1"/>
  <c r="BK62" i="19" a="1"/>
  <c r="BK62" i="19" s="1"/>
  <c r="BT62" i="19" s="1"/>
  <c r="DE62" i="19" a="1"/>
  <c r="DE62" i="19" s="1"/>
  <c r="DF62" i="19" s="1"/>
  <c r="BW62" i="19" s="1"/>
  <c r="BP62" i="19"/>
  <c r="BM52" i="19" a="1"/>
  <c r="BM52" i="19" s="1"/>
  <c r="BV52" i="19" s="1"/>
  <c r="DA52" i="19" a="1"/>
  <c r="DA52" i="19" s="1"/>
  <c r="DB52" i="19" s="1"/>
  <c r="DC52" i="19" a="1"/>
  <c r="DC52" i="19" s="1"/>
  <c r="DD52" i="19" s="1"/>
  <c r="BU52" i="19" s="1"/>
  <c r="DE52" i="19" a="1"/>
  <c r="DE52" i="19" s="1"/>
  <c r="DF52" i="19" s="1"/>
  <c r="BK52" i="19" a="1"/>
  <c r="BK52" i="19" s="1"/>
  <c r="BT52" i="19" s="1"/>
  <c r="CY52" i="19" a="1"/>
  <c r="CY52" i="19" s="1"/>
  <c r="BP52" i="19"/>
  <c r="CY38" i="19" a="1"/>
  <c r="CY38" i="19" s="1"/>
  <c r="DA38" i="19" a="1"/>
  <c r="DA38" i="19" s="1"/>
  <c r="DB38" i="19" s="1"/>
  <c r="DC38" i="19" a="1"/>
  <c r="DC38" i="19" s="1"/>
  <c r="DD38" i="19" s="1"/>
  <c r="BU38" i="19" s="1"/>
  <c r="BK38" i="19" a="1"/>
  <c r="BK38" i="19" s="1"/>
  <c r="BT38" i="19" s="1"/>
  <c r="DE38" i="19" a="1"/>
  <c r="DE38" i="19" s="1"/>
  <c r="DF38" i="19" s="1"/>
  <c r="BW38" i="19" s="1"/>
  <c r="BM38" i="19" a="1"/>
  <c r="BM38" i="19" s="1"/>
  <c r="BV38" i="19" s="1"/>
  <c r="BP38" i="19"/>
  <c r="CY53" i="19" a="1"/>
  <c r="CY53" i="19" s="1"/>
  <c r="DA53" i="19" a="1"/>
  <c r="DA53" i="19" s="1"/>
  <c r="DB53" i="19" s="1"/>
  <c r="BK53" i="19" a="1"/>
  <c r="BK53" i="19" s="1"/>
  <c r="BT53" i="19" s="1"/>
  <c r="DC53" i="19" a="1"/>
  <c r="DC53" i="19" s="1"/>
  <c r="DD53" i="19" s="1"/>
  <c r="BU53" i="19" s="1"/>
  <c r="DE53" i="19" a="1"/>
  <c r="DE53" i="19" s="1"/>
  <c r="DF53" i="19" s="1"/>
  <c r="BW53" i="19" s="1"/>
  <c r="BM53" i="19" a="1"/>
  <c r="BM53" i="19" s="1"/>
  <c r="BV53" i="19" s="1"/>
  <c r="BP53" i="19"/>
  <c r="CY32" i="19" a="1"/>
  <c r="CY32" i="19" s="1"/>
  <c r="BK32" i="19" a="1"/>
  <c r="BK32" i="19" s="1"/>
  <c r="BT32" i="19" s="1"/>
  <c r="DA32" i="19" a="1"/>
  <c r="DA32" i="19" s="1"/>
  <c r="DB32" i="19" s="1"/>
  <c r="BS32" i="19" s="1"/>
  <c r="DC32" i="19" a="1"/>
  <c r="DC32" i="19" s="1"/>
  <c r="DD32" i="19" s="1"/>
  <c r="BU32" i="19" s="1"/>
  <c r="BM32" i="19" a="1"/>
  <c r="BM32" i="19" s="1"/>
  <c r="BV32" i="19" s="1"/>
  <c r="DE32" i="19" a="1"/>
  <c r="DE32" i="19" s="1"/>
  <c r="DF32" i="19" s="1"/>
  <c r="BW32" i="19" s="1"/>
  <c r="BP32" i="19"/>
  <c r="BM24" i="19" a="1"/>
  <c r="BM24" i="19" s="1"/>
  <c r="BV24" i="19" s="1"/>
  <c r="DC24" i="19" a="1"/>
  <c r="DC24" i="19" s="1"/>
  <c r="DD24" i="19" s="1"/>
  <c r="BU24" i="19" s="1"/>
  <c r="BK24" i="19" a="1"/>
  <c r="BK24" i="19" s="1"/>
  <c r="BT24" i="19" s="1"/>
  <c r="DA24" i="19" a="1"/>
  <c r="DA24" i="19" s="1"/>
  <c r="DB24" i="19" s="1"/>
  <c r="DE24" i="19" a="1"/>
  <c r="DE24" i="19" s="1"/>
  <c r="DF24" i="19" s="1"/>
  <c r="BW24" i="19" s="1"/>
  <c r="CY24" i="19" a="1"/>
  <c r="CY24" i="19" s="1"/>
  <c r="BP24" i="19"/>
  <c r="DC61" i="19" a="1"/>
  <c r="DC61" i="19" s="1"/>
  <c r="DD61" i="19" s="1"/>
  <c r="BU61" i="19" s="1"/>
  <c r="DE61" i="19" a="1"/>
  <c r="DE61" i="19" s="1"/>
  <c r="DF61" i="19" s="1"/>
  <c r="BW61" i="19" s="1"/>
  <c r="BK61" i="19" a="1"/>
  <c r="BK61" i="19" s="1"/>
  <c r="BT61" i="19" s="1"/>
  <c r="CY61" i="19" a="1"/>
  <c r="CY61" i="19" s="1"/>
  <c r="BM61" i="19" a="1"/>
  <c r="BM61" i="19" s="1"/>
  <c r="BV61" i="19" s="1"/>
  <c r="DA61" i="19" a="1"/>
  <c r="DA61" i="19" s="1"/>
  <c r="DB61" i="19" s="1"/>
  <c r="BP61" i="19"/>
  <c r="DC33" i="19" a="1"/>
  <c r="DC33" i="19" s="1"/>
  <c r="DD33" i="19" s="1"/>
  <c r="BU33" i="19" s="1"/>
  <c r="DE33" i="19" a="1"/>
  <c r="DE33" i="19" s="1"/>
  <c r="DF33" i="19" s="1"/>
  <c r="BW33" i="19" s="1"/>
  <c r="BK33" i="19" a="1"/>
  <c r="BK33" i="19" s="1"/>
  <c r="BT33" i="19" s="1"/>
  <c r="DA33" i="19" a="1"/>
  <c r="DA33" i="19" s="1"/>
  <c r="DB33" i="19" s="1"/>
  <c r="CY33" i="19" a="1"/>
  <c r="CY33" i="19" s="1"/>
  <c r="BM33" i="19" a="1"/>
  <c r="BM33" i="19" s="1"/>
  <c r="BV33" i="19" s="1"/>
  <c r="BP33" i="19"/>
  <c r="BK23" i="19" a="1"/>
  <c r="BK23" i="19" s="1"/>
  <c r="BT23" i="19" s="1"/>
  <c r="BM23" i="19" a="1"/>
  <c r="BM23" i="19" s="1"/>
  <c r="BV23" i="19" s="1"/>
  <c r="DE23" i="19" a="1"/>
  <c r="DE23" i="19" s="1"/>
  <c r="DF23" i="19" s="1"/>
  <c r="BW23" i="19" s="1"/>
  <c r="CY23" i="19" a="1"/>
  <c r="CY23" i="19" s="1"/>
  <c r="DA23" i="19" a="1"/>
  <c r="DA23" i="19" s="1"/>
  <c r="DB23" i="19" s="1"/>
  <c r="DC23" i="19" a="1"/>
  <c r="DC23" i="19" s="1"/>
  <c r="DD23" i="19" s="1"/>
  <c r="BU23" i="19" s="1"/>
  <c r="BP23" i="19"/>
  <c r="BM28" i="19" a="1"/>
  <c r="BM28" i="19" s="1"/>
  <c r="BV28" i="19" s="1"/>
  <c r="DE28" i="19" a="1"/>
  <c r="DE28" i="19" s="1"/>
  <c r="DF28" i="19" s="1"/>
  <c r="BW28" i="19" s="1"/>
  <c r="BK28" i="19" a="1"/>
  <c r="BK28" i="19" s="1"/>
  <c r="BT28" i="19" s="1"/>
  <c r="DC28" i="19" a="1"/>
  <c r="DC28" i="19" s="1"/>
  <c r="DD28" i="19" s="1"/>
  <c r="BU28" i="19" s="1"/>
  <c r="CY28" i="19" a="1"/>
  <c r="CY28" i="19" s="1"/>
  <c r="DA28" i="19" a="1"/>
  <c r="DA28" i="19" s="1"/>
  <c r="DB28" i="19" s="1"/>
  <c r="BP28" i="19"/>
  <c r="CY37" i="19" a="1"/>
  <c r="CY37" i="19" s="1"/>
  <c r="BM37" i="19" a="1"/>
  <c r="BM37" i="19" s="1"/>
  <c r="BV37" i="19" s="1"/>
  <c r="DC37" i="19" a="1"/>
  <c r="DC37" i="19" s="1"/>
  <c r="DD37" i="19" s="1"/>
  <c r="BU37" i="19" s="1"/>
  <c r="DE37" i="19" a="1"/>
  <c r="DE37" i="19" s="1"/>
  <c r="DF37" i="19" s="1"/>
  <c r="BW37" i="19" s="1"/>
  <c r="BK37" i="19" a="1"/>
  <c r="BK37" i="19" s="1"/>
  <c r="BT37" i="19" s="1"/>
  <c r="DA37" i="19" a="1"/>
  <c r="DA37" i="19" s="1"/>
  <c r="DB37" i="19" s="1"/>
  <c r="BS37" i="19" s="1"/>
  <c r="BP37" i="19"/>
  <c r="BK55" i="19" a="1"/>
  <c r="BK55" i="19" s="1"/>
  <c r="BT55" i="19" s="1"/>
  <c r="CY55" i="19" a="1"/>
  <c r="CY55" i="19" s="1"/>
  <c r="BM55" i="19" a="1"/>
  <c r="BM55" i="19" s="1"/>
  <c r="BV55" i="19" s="1"/>
  <c r="DA55" i="19" a="1"/>
  <c r="DA55" i="19" s="1"/>
  <c r="DB55" i="19" s="1"/>
  <c r="DC55" i="19" a="1"/>
  <c r="DC55" i="19" s="1"/>
  <c r="DD55" i="19" s="1"/>
  <c r="BU55" i="19" s="1"/>
  <c r="DE55" i="19" a="1"/>
  <c r="DE55" i="19" s="1"/>
  <c r="DF55" i="19" s="1"/>
  <c r="BW55" i="19" s="1"/>
  <c r="BP55" i="19"/>
  <c r="BK36" i="19" a="1"/>
  <c r="BK36" i="19" s="1"/>
  <c r="BT36" i="19" s="1"/>
  <c r="BM36" i="19" a="1"/>
  <c r="BM36" i="19" s="1"/>
  <c r="BV36" i="19" s="1"/>
  <c r="DE36" i="19" a="1"/>
  <c r="DE36" i="19" s="1"/>
  <c r="DF36" i="19" s="1"/>
  <c r="BW36" i="19" s="1"/>
  <c r="CY36" i="19" a="1"/>
  <c r="CY36" i="19" s="1"/>
  <c r="DA36" i="19" a="1"/>
  <c r="DA36" i="19" s="1"/>
  <c r="DB36" i="19" s="1"/>
  <c r="DC36" i="19" a="1"/>
  <c r="DC36" i="19" s="1"/>
  <c r="DD36" i="19" s="1"/>
  <c r="BU36" i="19" s="1"/>
  <c r="BP36" i="19"/>
  <c r="BK60" i="19" a="1"/>
  <c r="BK60" i="19" s="1"/>
  <c r="BT60" i="19" s="1"/>
  <c r="DA60" i="19" a="1"/>
  <c r="DA60" i="19" s="1"/>
  <c r="DB60" i="19" s="1"/>
  <c r="BM60" i="19" a="1"/>
  <c r="BM60" i="19" s="1"/>
  <c r="BV60" i="19" s="1"/>
  <c r="DC60" i="19" a="1"/>
  <c r="DC60" i="19" s="1"/>
  <c r="DD60" i="19" s="1"/>
  <c r="BU60" i="19" s="1"/>
  <c r="DE60" i="19" a="1"/>
  <c r="DE60" i="19" s="1"/>
  <c r="DF60" i="19" s="1"/>
  <c r="BW60" i="19" s="1"/>
  <c r="CY60" i="19" a="1"/>
  <c r="CY60" i="19" s="1"/>
  <c r="BP60" i="19"/>
  <c r="DC58" i="19" a="1"/>
  <c r="DC58" i="19" s="1"/>
  <c r="DD58" i="19" s="1"/>
  <c r="BU58" i="19" s="1"/>
  <c r="DE58" i="19" a="1"/>
  <c r="DE58" i="19" s="1"/>
  <c r="DF58" i="19" s="1"/>
  <c r="BW58" i="19" s="1"/>
  <c r="BK58" i="19" a="1"/>
  <c r="BK58" i="19" s="1"/>
  <c r="BT58" i="19" s="1"/>
  <c r="DA58" i="19" a="1"/>
  <c r="DA58" i="19" s="1"/>
  <c r="DB58" i="19" s="1"/>
  <c r="BM58" i="19" a="1"/>
  <c r="BM58" i="19" s="1"/>
  <c r="BV58" i="19" s="1"/>
  <c r="CY58" i="19" a="1"/>
  <c r="CY58" i="19" s="1"/>
  <c r="BP58" i="19"/>
  <c r="CY30" i="19" a="1"/>
  <c r="CY30" i="19" s="1"/>
  <c r="DA30" i="19" a="1"/>
  <c r="DA30" i="19" s="1"/>
  <c r="DB30" i="19" s="1"/>
  <c r="DC30" i="19" a="1"/>
  <c r="DC30" i="19" s="1"/>
  <c r="DD30" i="19" s="1"/>
  <c r="BU30" i="19" s="1"/>
  <c r="BM30" i="19" a="1"/>
  <c r="BM30" i="19" s="1"/>
  <c r="BV30" i="19" s="1"/>
  <c r="BK30" i="19" a="1"/>
  <c r="BK30" i="19" s="1"/>
  <c r="BT30" i="19" s="1"/>
  <c r="DE30" i="19" a="1"/>
  <c r="DE30" i="19" s="1"/>
  <c r="DF30" i="19" s="1"/>
  <c r="BW30" i="19" s="1"/>
  <c r="CY47" i="19" a="1"/>
  <c r="CY47" i="19" s="1"/>
  <c r="BM47" i="19" a="1"/>
  <c r="BM47" i="19" s="1"/>
  <c r="BV47" i="19" s="1"/>
  <c r="DA47" i="19" a="1"/>
  <c r="DA47" i="19" s="1"/>
  <c r="DB47" i="19" s="1"/>
  <c r="BK47" i="19" a="1"/>
  <c r="BK47" i="19" s="1"/>
  <c r="BT47" i="19" s="1"/>
  <c r="DC47" i="19" a="1"/>
  <c r="DC47" i="19" s="1"/>
  <c r="DD47" i="19" s="1"/>
  <c r="BU47" i="19" s="1"/>
  <c r="DE47" i="19" a="1"/>
  <c r="DE47" i="19" s="1"/>
  <c r="DF47" i="19" s="1"/>
  <c r="BW47" i="19" s="1"/>
  <c r="BP47" i="19"/>
  <c r="DC42" i="19" a="1"/>
  <c r="DC42" i="19" s="1"/>
  <c r="DD42" i="19" s="1"/>
  <c r="BU42" i="19" s="1"/>
  <c r="DE42" i="19" a="1"/>
  <c r="DE42" i="19" s="1"/>
  <c r="DF42" i="19" s="1"/>
  <c r="BM42" i="19" a="1"/>
  <c r="BM42" i="19" s="1"/>
  <c r="BV42" i="19" s="1"/>
  <c r="DA42" i="19" a="1"/>
  <c r="DA42" i="19" s="1"/>
  <c r="DB42" i="19" s="1"/>
  <c r="BS42" i="19" s="1"/>
  <c r="BK42" i="19" a="1"/>
  <c r="BK42" i="19" s="1"/>
  <c r="BT42" i="19" s="1"/>
  <c r="CY42" i="19" a="1"/>
  <c r="CY42" i="19" s="1"/>
  <c r="BP42" i="19"/>
  <c r="I51" i="35"/>
  <c r="J30" i="16"/>
  <c r="R99" i="30"/>
  <c r="AI39" i="19"/>
  <c r="R69" i="30"/>
  <c r="R27" i="30"/>
  <c r="R12" i="30"/>
  <c r="R36" i="30"/>
  <c r="R21" i="30"/>
  <c r="R24" i="30"/>
  <c r="X128" i="30"/>
  <c r="R117" i="30"/>
  <c r="R93" i="30"/>
  <c r="R63" i="30"/>
  <c r="R87" i="30"/>
  <c r="R123" i="30"/>
  <c r="R33" i="30"/>
  <c r="R54" i="30"/>
  <c r="R114" i="30"/>
  <c r="X127" i="30"/>
  <c r="W128" i="30"/>
  <c r="Z127" i="30"/>
  <c r="V127" i="30"/>
  <c r="W127" i="30"/>
  <c r="Y128" i="30"/>
  <c r="Z128" i="30"/>
  <c r="Y86" i="30"/>
  <c r="Z59" i="30"/>
  <c r="V86" i="30"/>
  <c r="X59" i="30"/>
  <c r="Y59" i="30"/>
  <c r="W59" i="30"/>
  <c r="Z86" i="30"/>
  <c r="W86" i="30"/>
  <c r="Z91" i="30"/>
  <c r="V91" i="30"/>
  <c r="Y91" i="30"/>
  <c r="W91" i="30"/>
  <c r="X19" i="30"/>
  <c r="Z19" i="30"/>
  <c r="W19" i="30"/>
  <c r="Y19" i="30"/>
  <c r="W75" i="30"/>
  <c r="V40" i="30"/>
  <c r="W83" i="30"/>
  <c r="Z83" i="30"/>
  <c r="V83" i="30"/>
  <c r="Z16" i="30"/>
  <c r="X83" i="30"/>
  <c r="Y111" i="30"/>
  <c r="Z111" i="30"/>
  <c r="X79" i="30"/>
  <c r="Y90" i="30"/>
  <c r="Y79" i="30"/>
  <c r="Z75" i="30"/>
  <c r="Y40" i="30"/>
  <c r="Z40" i="30"/>
  <c r="V75" i="30"/>
  <c r="W111" i="30"/>
  <c r="W90" i="30"/>
  <c r="X40" i="30"/>
  <c r="X75" i="30"/>
  <c r="V79" i="30"/>
  <c r="W79" i="30"/>
  <c r="Z90" i="30"/>
  <c r="V111" i="30"/>
  <c r="W77" i="30"/>
  <c r="X77" i="30"/>
  <c r="Z67" i="30"/>
  <c r="W67" i="30"/>
  <c r="V77" i="30"/>
  <c r="Y77" i="30"/>
  <c r="Y84" i="30"/>
  <c r="X92" i="30"/>
  <c r="V92" i="30"/>
  <c r="Z92" i="30"/>
  <c r="Y92" i="30"/>
  <c r="V48" i="30"/>
  <c r="Y67" i="30"/>
  <c r="X15" i="30"/>
  <c r="W15" i="30"/>
  <c r="V15" i="30"/>
  <c r="X67" i="30"/>
  <c r="Z15" i="30"/>
  <c r="W84" i="30"/>
  <c r="V90" i="30"/>
  <c r="X48" i="30"/>
  <c r="V84" i="30"/>
  <c r="Z48" i="30"/>
  <c r="Y48" i="30"/>
  <c r="Z84" i="30"/>
  <c r="Z110" i="30"/>
  <c r="Z121" i="30"/>
  <c r="V66" i="30"/>
  <c r="W39" i="30"/>
  <c r="W121" i="30"/>
  <c r="X121" i="30"/>
  <c r="V121" i="30"/>
  <c r="Y89" i="30"/>
  <c r="Y52" i="30"/>
  <c r="Z52" i="30"/>
  <c r="W52" i="30"/>
  <c r="X110" i="30"/>
  <c r="V52" i="30"/>
  <c r="Y39" i="30"/>
  <c r="Z108" i="30"/>
  <c r="Y108" i="30"/>
  <c r="Y78" i="30"/>
  <c r="X39" i="30"/>
  <c r="W108" i="30"/>
  <c r="Y110" i="30"/>
  <c r="Z39" i="30"/>
  <c r="X108" i="30"/>
  <c r="V110" i="30"/>
  <c r="Y120" i="30"/>
  <c r="W78" i="30"/>
  <c r="Z78" i="30"/>
  <c r="W120" i="30"/>
  <c r="X78" i="30"/>
  <c r="X122" i="30"/>
  <c r="X120" i="30"/>
  <c r="W122" i="30"/>
  <c r="Y81" i="30"/>
  <c r="V51" i="30"/>
  <c r="Z122" i="30"/>
  <c r="X81" i="30"/>
  <c r="Z51" i="30"/>
  <c r="V122" i="30"/>
  <c r="W66" i="30"/>
  <c r="Z66" i="30"/>
  <c r="Z81" i="30"/>
  <c r="W81" i="30"/>
  <c r="W51" i="30"/>
  <c r="X51" i="30"/>
  <c r="X66" i="30"/>
  <c r="V120" i="30"/>
  <c r="X41" i="30"/>
  <c r="Z89" i="30"/>
  <c r="V115" i="30"/>
  <c r="Y41" i="30"/>
  <c r="X89" i="30"/>
  <c r="Z115" i="30"/>
  <c r="W89" i="30"/>
  <c r="W41" i="30"/>
  <c r="V41" i="30"/>
  <c r="X17" i="30"/>
  <c r="Y14" i="30"/>
  <c r="W113" i="30"/>
  <c r="V14" i="30"/>
  <c r="X14" i="30"/>
  <c r="W43" i="30"/>
  <c r="V43" i="30"/>
  <c r="X43" i="30"/>
  <c r="Z43" i="30"/>
  <c r="V113" i="30"/>
  <c r="Z113" i="30"/>
  <c r="Z14" i="30"/>
  <c r="Y113" i="30"/>
  <c r="AF57" i="19"/>
  <c r="AF56" i="19"/>
  <c r="Y31" i="30"/>
  <c r="V31" i="30"/>
  <c r="V65" i="30"/>
  <c r="X107" i="30"/>
  <c r="V20" i="30"/>
  <c r="Z31" i="30"/>
  <c r="X20" i="30"/>
  <c r="X31" i="30"/>
  <c r="Y20" i="30"/>
  <c r="Z20" i="30"/>
  <c r="Y107" i="30"/>
  <c r="Y115" i="30"/>
  <c r="W17" i="30"/>
  <c r="W115" i="30"/>
  <c r="Y17" i="30"/>
  <c r="V17" i="30"/>
  <c r="V107" i="30"/>
  <c r="Z103" i="30"/>
  <c r="X103" i="30"/>
  <c r="V103" i="30"/>
  <c r="W103" i="30"/>
  <c r="W107" i="30"/>
  <c r="W98" i="30"/>
  <c r="X98" i="30"/>
  <c r="Z98" i="30"/>
  <c r="W94" i="30"/>
  <c r="V94" i="30"/>
  <c r="Y94" i="30"/>
  <c r="Z94" i="30"/>
  <c r="V105" i="30"/>
  <c r="V98" i="30"/>
  <c r="W65" i="30"/>
  <c r="V16" i="30"/>
  <c r="Y16" i="30"/>
  <c r="Y57" i="30"/>
  <c r="L45" i="30"/>
  <c r="H45" i="30" s="1"/>
  <c r="W105" i="30"/>
  <c r="X26" i="30"/>
  <c r="X105" i="30"/>
  <c r="Y65" i="30"/>
  <c r="X16" i="30"/>
  <c r="Y105" i="30"/>
  <c r="X65" i="30"/>
  <c r="X106" i="30"/>
  <c r="CS22" i="19" a="1"/>
  <c r="CS22" i="19" s="1"/>
  <c r="CU22" i="19" a="1"/>
  <c r="CU22" i="19" s="1"/>
  <c r="CR22" i="19" a="1"/>
  <c r="CR22" i="19" s="1"/>
  <c r="CT22" i="19" a="1"/>
  <c r="CT22" i="19" s="1"/>
  <c r="Z57" i="30"/>
  <c r="V57" i="30"/>
  <c r="V68" i="30"/>
  <c r="Y68" i="30"/>
  <c r="W57" i="30"/>
  <c r="Y106" i="30"/>
  <c r="W106" i="30"/>
  <c r="V106" i="30"/>
  <c r="Z104" i="30"/>
  <c r="X68" i="30"/>
  <c r="Z68" i="30"/>
  <c r="W26" i="30"/>
  <c r="V26" i="30"/>
  <c r="Z26" i="30"/>
  <c r="V73" i="30"/>
  <c r="X73" i="30"/>
  <c r="V74" i="30"/>
  <c r="Z74" i="30"/>
  <c r="W74" i="30"/>
  <c r="Y74" i="30"/>
  <c r="X44" i="30"/>
  <c r="W72" i="30"/>
  <c r="X104" i="30"/>
  <c r="Z73" i="30"/>
  <c r="Y73" i="30"/>
  <c r="Y44" i="30"/>
  <c r="V44" i="30"/>
  <c r="V104" i="30"/>
  <c r="Z44" i="30"/>
  <c r="V38" i="30"/>
  <c r="Y104" i="30"/>
  <c r="W85" i="30"/>
  <c r="Y85" i="30"/>
  <c r="W38" i="30"/>
  <c r="X72" i="30"/>
  <c r="Z38" i="30"/>
  <c r="X38" i="30"/>
  <c r="V109" i="30"/>
  <c r="X109" i="30"/>
  <c r="W53" i="30"/>
  <c r="Y53" i="30"/>
  <c r="V29" i="30"/>
  <c r="V53" i="30"/>
  <c r="X53" i="30"/>
  <c r="Z62" i="30"/>
  <c r="X85" i="30"/>
  <c r="W62" i="30"/>
  <c r="X62" i="30"/>
  <c r="V62" i="30"/>
  <c r="Y109" i="30"/>
  <c r="Z29" i="30"/>
  <c r="W109" i="30"/>
  <c r="Z85" i="30"/>
  <c r="Z72" i="30"/>
  <c r="Y72" i="30"/>
  <c r="W29" i="30"/>
  <c r="W100" i="30"/>
  <c r="Y29" i="30"/>
  <c r="Z100" i="30"/>
  <c r="W97" i="30"/>
  <c r="Y97" i="30"/>
  <c r="V97" i="30"/>
  <c r="X97" i="30"/>
  <c r="X100" i="30"/>
  <c r="V100" i="30"/>
  <c r="Z35" i="30"/>
  <c r="V35" i="30"/>
  <c r="Y35" i="30"/>
  <c r="W35" i="30"/>
  <c r="W112" i="30"/>
  <c r="Y112" i="30"/>
  <c r="V112" i="30"/>
  <c r="Z112" i="30"/>
  <c r="X112" i="30"/>
  <c r="W58" i="30"/>
  <c r="X58" i="30"/>
  <c r="Y58" i="30"/>
  <c r="V58" i="30"/>
  <c r="CL51" i="19" a="1"/>
  <c r="CL51" i="19" s="1"/>
  <c r="CM51" i="19" a="1"/>
  <c r="CM51" i="19" s="1"/>
  <c r="CN51" i="19" a="1"/>
  <c r="CN51" i="19" s="1"/>
  <c r="CO51" i="19" a="1"/>
  <c r="CO51" i="19" s="1"/>
  <c r="CK51" i="19" a="1"/>
  <c r="CK51" i="19" s="1"/>
  <c r="CQ29" i="19" a="1"/>
  <c r="CQ29" i="19" s="1"/>
  <c r="CR29" i="19" a="1"/>
  <c r="CR29" i="19" s="1"/>
  <c r="CS29" i="19" a="1"/>
  <c r="CS29" i="19" s="1"/>
  <c r="CT29" i="19" a="1"/>
  <c r="CT29" i="19" s="1"/>
  <c r="CU29" i="19" a="1"/>
  <c r="CU29" i="19" s="1"/>
  <c r="CR39" i="19" a="1"/>
  <c r="CR39" i="19" s="1"/>
  <c r="CQ39" i="19" a="1"/>
  <c r="CQ39" i="19" s="1"/>
  <c r="CS39" i="19" a="1"/>
  <c r="CS39" i="19" s="1"/>
  <c r="CT39" i="19" a="1"/>
  <c r="CT39" i="19" s="1"/>
  <c r="CU39" i="19" a="1"/>
  <c r="CU39" i="19" s="1"/>
  <c r="CL56" i="19" a="1"/>
  <c r="CL56" i="19" s="1"/>
  <c r="CM56" i="19" a="1"/>
  <c r="CM56" i="19" s="1"/>
  <c r="CN56" i="19" a="1"/>
  <c r="CN56" i="19" s="1"/>
  <c r="CK56" i="19" a="1"/>
  <c r="CK56" i="19" s="1"/>
  <c r="CO56" i="19" a="1"/>
  <c r="CO56" i="19" s="1"/>
  <c r="CS35" i="19" a="1"/>
  <c r="CS35" i="19" s="1"/>
  <c r="CT35" i="19" a="1"/>
  <c r="CT35" i="19" s="1"/>
  <c r="CU35" i="19" a="1"/>
  <c r="CU35" i="19" s="1"/>
  <c r="CQ35" i="19" a="1"/>
  <c r="CQ35" i="19" s="1"/>
  <c r="CR35" i="19" a="1"/>
  <c r="CR35" i="19" s="1"/>
  <c r="CQ61" i="19" a="1"/>
  <c r="CQ61" i="19" s="1"/>
  <c r="CS61" i="19" a="1"/>
  <c r="CS61" i="19" s="1"/>
  <c r="CU61" i="19" a="1"/>
  <c r="CU61" i="19" s="1"/>
  <c r="CR61" i="19" a="1"/>
  <c r="CR61" i="19" s="1"/>
  <c r="CT61" i="19" a="1"/>
  <c r="CT61" i="19" s="1"/>
  <c r="CN24" i="19" a="1"/>
  <c r="CN24" i="19" s="1"/>
  <c r="CO24" i="19" a="1"/>
  <c r="CO24" i="19" s="1"/>
  <c r="CM24" i="19" a="1"/>
  <c r="CM24" i="19" s="1"/>
  <c r="CK24" i="19" a="1"/>
  <c r="CK24" i="19" s="1"/>
  <c r="CL24" i="19" a="1"/>
  <c r="CL24" i="19" s="1"/>
  <c r="CU53" i="19" a="1"/>
  <c r="CU53" i="19" s="1"/>
  <c r="CQ53" i="19" a="1"/>
  <c r="CQ53" i="19" s="1"/>
  <c r="CT53" i="19" a="1"/>
  <c r="CT53" i="19" s="1"/>
  <c r="CR53" i="19" a="1"/>
  <c r="CR53" i="19" s="1"/>
  <c r="CS53" i="19" a="1"/>
  <c r="CS53" i="19" s="1"/>
  <c r="CQ24" i="19" a="1"/>
  <c r="CQ24" i="19" s="1"/>
  <c r="CR24" i="19" a="1"/>
  <c r="CR24" i="19" s="1"/>
  <c r="CS24" i="19" a="1"/>
  <c r="CS24" i="19" s="1"/>
  <c r="CT24" i="19" a="1"/>
  <c r="CT24" i="19" s="1"/>
  <c r="CU24" i="19" a="1"/>
  <c r="CU24" i="19" s="1"/>
  <c r="CL60" i="19" a="1"/>
  <c r="CL60" i="19" s="1"/>
  <c r="CK60" i="19" a="1"/>
  <c r="CK60" i="19" s="1"/>
  <c r="CM60" i="19" a="1"/>
  <c r="CM60" i="19" s="1"/>
  <c r="CO60" i="19" a="1"/>
  <c r="CO60" i="19" s="1"/>
  <c r="CN60" i="19" a="1"/>
  <c r="CN60" i="19" s="1"/>
  <c r="CK53" i="19" a="1"/>
  <c r="CK53" i="19" s="1"/>
  <c r="CO53" i="19" a="1"/>
  <c r="CO53" i="19" s="1"/>
  <c r="CL53" i="19" a="1"/>
  <c r="CL53" i="19" s="1"/>
  <c r="CN53" i="19" a="1"/>
  <c r="CN53" i="19" s="1"/>
  <c r="CM53" i="19" a="1"/>
  <c r="CM53" i="19" s="1"/>
  <c r="CK52" i="19" a="1"/>
  <c r="CK52" i="19" s="1"/>
  <c r="CO52" i="19" a="1"/>
  <c r="CO52" i="19" s="1"/>
  <c r="CN52" i="19" a="1"/>
  <c r="CN52" i="19" s="1"/>
  <c r="CM52" i="19" a="1"/>
  <c r="CM52" i="19" s="1"/>
  <c r="CL52" i="19" a="1"/>
  <c r="CL52" i="19" s="1"/>
  <c r="CS60" i="19" a="1"/>
  <c r="CS60" i="19" s="1"/>
  <c r="CT60" i="19" a="1"/>
  <c r="CT60" i="19" s="1"/>
  <c r="CU60" i="19" a="1"/>
  <c r="CU60" i="19" s="1"/>
  <c r="CR60" i="19" a="1"/>
  <c r="CR60" i="19" s="1"/>
  <c r="CQ60" i="19" a="1"/>
  <c r="CQ60" i="19" s="1"/>
  <c r="CK48" i="19" a="1"/>
  <c r="CK48" i="19" s="1"/>
  <c r="CL48" i="19" a="1"/>
  <c r="CL48" i="19" s="1"/>
  <c r="CM48" i="19" a="1"/>
  <c r="CM48" i="19" s="1"/>
  <c r="CN48" i="19" a="1"/>
  <c r="CN48" i="19" s="1"/>
  <c r="CO48" i="19" a="1"/>
  <c r="CO48" i="19" s="1"/>
  <c r="CQ47" i="19" a="1"/>
  <c r="CQ47" i="19" s="1"/>
  <c r="CR47" i="19" a="1"/>
  <c r="CR47" i="19" s="1"/>
  <c r="CT47" i="19" a="1"/>
  <c r="CT47" i="19" s="1"/>
  <c r="CS47" i="19" a="1"/>
  <c r="CS47" i="19" s="1"/>
  <c r="CU47" i="19" a="1"/>
  <c r="CU47" i="19" s="1"/>
  <c r="CS50" i="19" a="1"/>
  <c r="CS50" i="19" s="1"/>
  <c r="CT50" i="19" a="1"/>
  <c r="CT50" i="19" s="1"/>
  <c r="CU50" i="19" a="1"/>
  <c r="CU50" i="19" s="1"/>
  <c r="CR50" i="19" a="1"/>
  <c r="CR50" i="19" s="1"/>
  <c r="CQ50" i="19" a="1"/>
  <c r="CQ50" i="19" s="1"/>
  <c r="CQ52" i="19" a="1"/>
  <c r="CQ52" i="19" s="1"/>
  <c r="CR52" i="19" a="1"/>
  <c r="CR52" i="19" s="1"/>
  <c r="CS52" i="19" a="1"/>
  <c r="CS52" i="19" s="1"/>
  <c r="CT52" i="19" a="1"/>
  <c r="CT52" i="19" s="1"/>
  <c r="CU52" i="19" a="1"/>
  <c r="CU52" i="19" s="1"/>
  <c r="CN54" i="19" a="1"/>
  <c r="CN54" i="19" s="1"/>
  <c r="CO54" i="19" a="1"/>
  <c r="CO54" i="19" s="1"/>
  <c r="CM54" i="19" a="1"/>
  <c r="CM54" i="19" s="1"/>
  <c r="CK54" i="19" a="1"/>
  <c r="CK54" i="19" s="1"/>
  <c r="CL54" i="19" a="1"/>
  <c r="CL54" i="19" s="1"/>
  <c r="CN49" i="19" a="1"/>
  <c r="CN49" i="19" s="1"/>
  <c r="CO49" i="19" a="1"/>
  <c r="CO49" i="19" s="1"/>
  <c r="CM49" i="19" a="1"/>
  <c r="CM49" i="19" s="1"/>
  <c r="CL49" i="19" a="1"/>
  <c r="CL49" i="19" s="1"/>
  <c r="CK49" i="19" a="1"/>
  <c r="CK49" i="19" s="1"/>
  <c r="CR34" i="19" a="1"/>
  <c r="CR34" i="19" s="1"/>
  <c r="CQ34" i="19" a="1"/>
  <c r="CQ34" i="19" s="1"/>
  <c r="CS34" i="19" a="1"/>
  <c r="CS34" i="19" s="1"/>
  <c r="CT34" i="19" a="1"/>
  <c r="CT34" i="19" s="1"/>
  <c r="CU34" i="19" a="1"/>
  <c r="CU34" i="19" s="1"/>
  <c r="CS55" i="19" a="1"/>
  <c r="CS55" i="19" s="1"/>
  <c r="CT55" i="19" a="1"/>
  <c r="CT55" i="19" s="1"/>
  <c r="CU55" i="19" a="1"/>
  <c r="CU55" i="19" s="1"/>
  <c r="CR55" i="19" a="1"/>
  <c r="CR55" i="19" s="1"/>
  <c r="CQ55" i="19" a="1"/>
  <c r="CQ55" i="19" s="1"/>
  <c r="CS30" i="19" a="1"/>
  <c r="CS30" i="19" s="1"/>
  <c r="CT30" i="19" a="1"/>
  <c r="CT30" i="19" s="1"/>
  <c r="CU30" i="19" a="1"/>
  <c r="CU30" i="19" s="1"/>
  <c r="CQ30" i="19" a="1"/>
  <c r="CQ30" i="19" s="1"/>
  <c r="CR30" i="19" a="1"/>
  <c r="CR30" i="19" s="1"/>
  <c r="CK50" i="19" a="1"/>
  <c r="CK50" i="19" s="1"/>
  <c r="CL50" i="19" a="1"/>
  <c r="CL50" i="19" s="1"/>
  <c r="CM50" i="19" a="1"/>
  <c r="CM50" i="19" s="1"/>
  <c r="CO50" i="19" a="1"/>
  <c r="CO50" i="19" s="1"/>
  <c r="CN50" i="19" a="1"/>
  <c r="CN50" i="19" s="1"/>
  <c r="CQ26" i="19" a="1"/>
  <c r="CQ26" i="19" s="1"/>
  <c r="CR26" i="19" a="1"/>
  <c r="CR26" i="19" s="1"/>
  <c r="CS26" i="19" a="1"/>
  <c r="CS26" i="19" s="1"/>
  <c r="CT26" i="19" a="1"/>
  <c r="CT26" i="19" s="1"/>
  <c r="CU26" i="19" a="1"/>
  <c r="CU26" i="19" s="1"/>
  <c r="CO32" i="19" a="1"/>
  <c r="CO32" i="19" s="1"/>
  <c r="CK32" i="19" a="1"/>
  <c r="CK32" i="19" s="1"/>
  <c r="CN32" i="19" a="1"/>
  <c r="CN32" i="19" s="1"/>
  <c r="CL32" i="19" a="1"/>
  <c r="CL32" i="19" s="1"/>
  <c r="CM32" i="19" a="1"/>
  <c r="CM32" i="19" s="1"/>
  <c r="CK43" i="19" a="1"/>
  <c r="CK43" i="19" s="1"/>
  <c r="CM43" i="19" a="1"/>
  <c r="CM43" i="19" s="1"/>
  <c r="CL43" i="19" a="1"/>
  <c r="CL43" i="19" s="1"/>
  <c r="CN43" i="19" a="1"/>
  <c r="CN43" i="19" s="1"/>
  <c r="CO43" i="19" a="1"/>
  <c r="CO43" i="19" s="1"/>
  <c r="CM55" i="19" a="1"/>
  <c r="CM55" i="19" s="1"/>
  <c r="CK55" i="19" a="1"/>
  <c r="CK55" i="19" s="1"/>
  <c r="CL55" i="19" a="1"/>
  <c r="CL55" i="19" s="1"/>
  <c r="CN55" i="19" a="1"/>
  <c r="CN55" i="19" s="1"/>
  <c r="CO55" i="19" a="1"/>
  <c r="CO55" i="19" s="1"/>
  <c r="CO33" i="19" a="1"/>
  <c r="CO33" i="19" s="1"/>
  <c r="CK33" i="19" a="1"/>
  <c r="CK33" i="19" s="1"/>
  <c r="CM33" i="19" a="1"/>
  <c r="CM33" i="19" s="1"/>
  <c r="CL33" i="19" a="1"/>
  <c r="CL33" i="19" s="1"/>
  <c r="CN33" i="19" a="1"/>
  <c r="CN33" i="19" s="1"/>
  <c r="CQ32" i="19" a="1"/>
  <c r="CQ32" i="19" s="1"/>
  <c r="CR32" i="19" a="1"/>
  <c r="CR32" i="19" s="1"/>
  <c r="CS32" i="19" a="1"/>
  <c r="CS32" i="19" s="1"/>
  <c r="CT32" i="19" a="1"/>
  <c r="CT32" i="19" s="1"/>
  <c r="CU32" i="19" a="1"/>
  <c r="CU32" i="19" s="1"/>
  <c r="Z50" i="30"/>
  <c r="X50" i="30"/>
  <c r="V50" i="30"/>
  <c r="Y50" i="30"/>
  <c r="W50" i="30"/>
  <c r="Z60" i="30"/>
  <c r="Y60" i="30"/>
  <c r="W60" i="30"/>
  <c r="V60" i="30"/>
  <c r="X60" i="30"/>
  <c r="CQ36" i="19" a="1"/>
  <c r="CQ36" i="19" s="1"/>
  <c r="CR36" i="19" a="1"/>
  <c r="CR36" i="19" s="1"/>
  <c r="CS36" i="19" a="1"/>
  <c r="CS36" i="19" s="1"/>
  <c r="CT36" i="19" a="1"/>
  <c r="CT36" i="19" s="1"/>
  <c r="CU36" i="19" a="1"/>
  <c r="CU36" i="19" s="1"/>
  <c r="CU33" i="19" a="1"/>
  <c r="CU33" i="19" s="1"/>
  <c r="CQ33" i="19" a="1"/>
  <c r="CQ33" i="19" s="1"/>
  <c r="CR33" i="19" a="1"/>
  <c r="CR33" i="19" s="1"/>
  <c r="CS33" i="19" a="1"/>
  <c r="CS33" i="19" s="1"/>
  <c r="CT33" i="19" a="1"/>
  <c r="CT33" i="19" s="1"/>
  <c r="CQ31" i="19" a="1"/>
  <c r="CQ31" i="19" s="1"/>
  <c r="CR31" i="19" a="1"/>
  <c r="CR31" i="19" s="1"/>
  <c r="CS31" i="19" a="1"/>
  <c r="CS31" i="19" s="1"/>
  <c r="CT31" i="19" a="1"/>
  <c r="CT31" i="19" s="1"/>
  <c r="CU31" i="19" a="1"/>
  <c r="CU31" i="19" s="1"/>
  <c r="CK37" i="19" a="1"/>
  <c r="CK37" i="19" s="1"/>
  <c r="CO37" i="19" a="1"/>
  <c r="CO37" i="19" s="1"/>
  <c r="CM37" i="19" a="1"/>
  <c r="CM37" i="19" s="1"/>
  <c r="CL37" i="19" a="1"/>
  <c r="CL37" i="19" s="1"/>
  <c r="CN37" i="19" a="1"/>
  <c r="CN37" i="19" s="1"/>
  <c r="CU58" i="19" a="1"/>
  <c r="CU58" i="19" s="1"/>
  <c r="CQ58" i="19" a="1"/>
  <c r="CQ58" i="19" s="1"/>
  <c r="CT58" i="19" a="1"/>
  <c r="CT58" i="19" s="1"/>
  <c r="CR58" i="19" a="1"/>
  <c r="CR58" i="19" s="1"/>
  <c r="CS58" i="19" a="1"/>
  <c r="CS58" i="19" s="1"/>
  <c r="CQ27" i="19" a="1"/>
  <c r="CQ27" i="19" s="1"/>
  <c r="CR27" i="19" a="1"/>
  <c r="CR27" i="19" s="1"/>
  <c r="CS27" i="19" a="1"/>
  <c r="CS27" i="19" s="1"/>
  <c r="CT27" i="19" a="1"/>
  <c r="CT27" i="19" s="1"/>
  <c r="CU27" i="19" a="1"/>
  <c r="CU27" i="19" s="1"/>
  <c r="CQ37" i="19" a="1"/>
  <c r="CQ37" i="19" s="1"/>
  <c r="CR37" i="19" a="1"/>
  <c r="CR37" i="19" s="1"/>
  <c r="CT37" i="19" a="1"/>
  <c r="CT37" i="19" s="1"/>
  <c r="CS37" i="19" a="1"/>
  <c r="CS37" i="19" s="1"/>
  <c r="CU37" i="19" a="1"/>
  <c r="CU37" i="19" s="1"/>
  <c r="CM61" i="19" a="1"/>
  <c r="CM61" i="19" s="1"/>
  <c r="CN61" i="19" a="1"/>
  <c r="CN61" i="19" s="1"/>
  <c r="CK61" i="19" a="1"/>
  <c r="CK61" i="19" s="1"/>
  <c r="CL61" i="19" a="1"/>
  <c r="CL61" i="19" s="1"/>
  <c r="CO61" i="19" a="1"/>
  <c r="CO61" i="19" s="1"/>
  <c r="K53" i="16"/>
  <c r="K7" i="39" a="1"/>
  <c r="K7" i="39" s="1"/>
  <c r="H7" i="39"/>
  <c r="I7" i="39"/>
  <c r="K27" i="39" a="1"/>
  <c r="K27" i="39" s="1"/>
  <c r="H27" i="39"/>
  <c r="G27" i="39"/>
  <c r="I27" i="39"/>
  <c r="K13" i="39" a="1"/>
  <c r="K13" i="39" s="1"/>
  <c r="I13" i="39"/>
  <c r="H13" i="39"/>
  <c r="G13" i="39"/>
  <c r="K38" i="39" a="1"/>
  <c r="K38" i="39" s="1"/>
  <c r="I38" i="39"/>
  <c r="H38" i="39"/>
  <c r="G38" i="39"/>
  <c r="K10" i="39" a="1"/>
  <c r="K10" i="39" s="1"/>
  <c r="I10" i="39"/>
  <c r="H10" i="39"/>
  <c r="K42" i="39" a="1"/>
  <c r="K42" i="39" s="1"/>
  <c r="G42" i="39"/>
  <c r="H42" i="39"/>
  <c r="I42" i="39"/>
  <c r="K18" i="39" a="1"/>
  <c r="K18" i="39" s="1"/>
  <c r="I18" i="39"/>
  <c r="G18" i="39"/>
  <c r="H18" i="39"/>
  <c r="K4" i="39" a="1"/>
  <c r="K4" i="39" s="1"/>
  <c r="H4" i="39"/>
  <c r="I4" i="39"/>
  <c r="K22" i="39" a="1"/>
  <c r="K22" i="39" s="1"/>
  <c r="I22" i="39"/>
  <c r="G22" i="39"/>
  <c r="H22" i="39"/>
  <c r="K15" i="39" a="1"/>
  <c r="K15" i="39" s="1"/>
  <c r="I15" i="39"/>
  <c r="H15" i="39"/>
  <c r="G15" i="39"/>
  <c r="K21" i="39" a="1"/>
  <c r="K21" i="39" s="1"/>
  <c r="H21" i="39"/>
  <c r="G21" i="39"/>
  <c r="I21" i="39"/>
  <c r="K26" i="39" a="1"/>
  <c r="K26" i="39" s="1"/>
  <c r="H26" i="39"/>
  <c r="G26" i="39"/>
  <c r="I26" i="39"/>
  <c r="K29" i="39" a="1"/>
  <c r="K29" i="39" s="1"/>
  <c r="I29" i="39"/>
  <c r="G29" i="39"/>
  <c r="H29" i="39"/>
  <c r="K35" i="39" a="1"/>
  <c r="K35" i="39" s="1"/>
  <c r="I35" i="39"/>
  <c r="H35" i="39"/>
  <c r="G35" i="39"/>
  <c r="K2" i="39" a="1"/>
  <c r="K2" i="39" s="1"/>
  <c r="H2" i="39"/>
  <c r="I2" i="39"/>
  <c r="K34" i="39" a="1"/>
  <c r="K34" i="39" s="1"/>
  <c r="H34" i="39"/>
  <c r="G34" i="39"/>
  <c r="I34" i="39"/>
  <c r="K37" i="39" a="1"/>
  <c r="K37" i="39" s="1"/>
  <c r="H37" i="39"/>
  <c r="G37" i="39"/>
  <c r="I37" i="39"/>
  <c r="K23" i="39" a="1"/>
  <c r="K23" i="39" s="1"/>
  <c r="I23" i="39"/>
  <c r="H23" i="39"/>
  <c r="G23" i="39"/>
  <c r="K9" i="39" a="1"/>
  <c r="K9" i="39" s="1"/>
  <c r="I9" i="39"/>
  <c r="H9" i="39"/>
  <c r="U19" i="33"/>
  <c r="B19" i="33"/>
  <c r="R19" i="33"/>
  <c r="S19" i="33"/>
  <c r="T19" i="33"/>
  <c r="K30" i="39" a="1"/>
  <c r="K30" i="39" s="1"/>
  <c r="I30" i="39"/>
  <c r="H30" i="39"/>
  <c r="G30" i="39"/>
  <c r="K41" i="39" a="1"/>
  <c r="K41" i="39" s="1"/>
  <c r="H41" i="39"/>
  <c r="G41" i="39"/>
  <c r="I41" i="39"/>
  <c r="K40" i="39" a="1"/>
  <c r="K40" i="39" s="1"/>
  <c r="I40" i="39"/>
  <c r="G40" i="39"/>
  <c r="H40" i="39"/>
  <c r="K36" i="39" a="1"/>
  <c r="K36" i="39" s="1"/>
  <c r="H36" i="39"/>
  <c r="G36" i="39"/>
  <c r="I36" i="39"/>
  <c r="K39" i="39" a="1"/>
  <c r="K39" i="39" s="1"/>
  <c r="I39" i="39"/>
  <c r="G39" i="39"/>
  <c r="H39" i="39"/>
  <c r="K3" i="39" a="1"/>
  <c r="K3" i="39" s="1"/>
  <c r="I3" i="39"/>
  <c r="H3" i="39"/>
  <c r="K28" i="39" a="1"/>
  <c r="K28" i="39" s="1"/>
  <c r="I28" i="39"/>
  <c r="G28" i="39"/>
  <c r="H28" i="39"/>
  <c r="O20" i="33"/>
  <c r="N21" i="33" s="1"/>
  <c r="P20" i="33"/>
  <c r="M20" i="33" s="1" a="1"/>
  <c r="M20" i="33" s="1"/>
  <c r="K19" i="39" a="1"/>
  <c r="K19" i="39" s="1"/>
  <c r="I19" i="39"/>
  <c r="G19" i="39"/>
  <c r="H19" i="39"/>
  <c r="K20" i="39" a="1"/>
  <c r="K20" i="39" s="1"/>
  <c r="I20" i="39"/>
  <c r="G20" i="39"/>
  <c r="H20" i="39"/>
  <c r="K25" i="39" a="1"/>
  <c r="K25" i="39" s="1"/>
  <c r="I25" i="39"/>
  <c r="G25" i="39"/>
  <c r="H25" i="39"/>
  <c r="K31" i="39" a="1"/>
  <c r="K31" i="39" s="1"/>
  <c r="H31" i="39"/>
  <c r="G31" i="39"/>
  <c r="I31" i="39"/>
  <c r="K14" i="39" a="1"/>
  <c r="K14" i="39" s="1"/>
  <c r="H14" i="39"/>
  <c r="G14" i="39"/>
  <c r="I14" i="39"/>
  <c r="K17" i="39" a="1"/>
  <c r="K17" i="39" s="1"/>
  <c r="H17" i="39"/>
  <c r="G17" i="39"/>
  <c r="I17" i="39"/>
  <c r="K6" i="39" a="1"/>
  <c r="K6" i="39" s="1"/>
  <c r="H6" i="39"/>
  <c r="I6" i="39"/>
  <c r="K12" i="39" a="1"/>
  <c r="K12" i="39" s="1"/>
  <c r="I12" i="39"/>
  <c r="H12" i="39"/>
  <c r="G12" i="39"/>
  <c r="K32" i="39" a="1"/>
  <c r="K32" i="39" s="1"/>
  <c r="H32" i="39"/>
  <c r="I32" i="39"/>
  <c r="G32" i="39"/>
  <c r="K8" i="39" a="1"/>
  <c r="K8" i="39" s="1"/>
  <c r="I8" i="39"/>
  <c r="H8" i="39"/>
  <c r="K33" i="39" a="1"/>
  <c r="K33" i="39" s="1"/>
  <c r="I33" i="39"/>
  <c r="H33" i="39"/>
  <c r="G33" i="39"/>
  <c r="J20" i="33"/>
  <c r="I21" i="33" s="1"/>
  <c r="K20" i="33"/>
  <c r="H20" i="33" s="1" a="1"/>
  <c r="H20" i="33" s="1"/>
  <c r="A20" i="33" s="1"/>
  <c r="K24" i="39" a="1"/>
  <c r="K24" i="39" s="1"/>
  <c r="H24" i="39"/>
  <c r="G24" i="39"/>
  <c r="I24" i="39"/>
  <c r="K5" i="39" a="1"/>
  <c r="K5" i="39" s="1"/>
  <c r="I5" i="39"/>
  <c r="H5" i="39"/>
  <c r="K11" i="39" a="1"/>
  <c r="K11" i="39" s="1"/>
  <c r="H11" i="39"/>
  <c r="I11" i="39"/>
  <c r="K16" i="39" a="1"/>
  <c r="K16" i="39" s="1"/>
  <c r="H16" i="39"/>
  <c r="G16" i="39"/>
  <c r="I16" i="39"/>
  <c r="X4" i="18"/>
  <c r="V4" i="18" s="1"/>
  <c r="J46" i="16"/>
  <c r="H42" i="30"/>
  <c r="D44" i="19"/>
  <c r="BG44" i="19" s="1" a="1"/>
  <c r="BG44" i="19" s="1"/>
  <c r="J35" i="16"/>
  <c r="J25" i="16"/>
  <c r="AI23" i="19"/>
  <c r="AI44" i="19"/>
  <c r="J28" i="16"/>
  <c r="AI37" i="19"/>
  <c r="J24" i="16"/>
  <c r="AI33" i="19"/>
  <c r="J23" i="16"/>
  <c r="AI32" i="19"/>
  <c r="AI34" i="19"/>
  <c r="AI55" i="19"/>
  <c r="D34" i="19"/>
  <c r="BG34" i="19" s="1" a="1"/>
  <c r="BG34" i="19" s="1"/>
  <c r="J43" i="16"/>
  <c r="V51" i="34"/>
  <c r="I51" i="34" s="1"/>
  <c r="AI52" i="19"/>
  <c r="J14" i="16"/>
  <c r="V51" i="7"/>
  <c r="I51" i="7" s="1"/>
  <c r="J33" i="16"/>
  <c r="AI42" i="19"/>
  <c r="AI46" i="19"/>
  <c r="J37" i="16"/>
  <c r="AI28" i="19"/>
  <c r="J19" i="16"/>
  <c r="AI57" i="19"/>
  <c r="J49" i="16"/>
  <c r="AI58" i="19"/>
  <c r="D40" i="19"/>
  <c r="BG40" i="19" s="1" a="1"/>
  <c r="BG40" i="19" s="1"/>
  <c r="J20" i="16"/>
  <c r="D46" i="19"/>
  <c r="BG46" i="19" s="1" a="1"/>
  <c r="BG46" i="19" s="1"/>
  <c r="J48" i="16"/>
  <c r="AI29" i="19"/>
  <c r="J26" i="16"/>
  <c r="D35" i="19"/>
  <c r="BG35" i="19" s="1" a="1"/>
  <c r="BG35" i="19" s="1"/>
  <c r="D45" i="19"/>
  <c r="BG45" i="19" s="1" a="1"/>
  <c r="BG45" i="19" s="1"/>
  <c r="D54" i="19"/>
  <c r="BG54" i="19" s="1" a="1"/>
  <c r="BG54" i="19" s="1"/>
  <c r="AA91" i="30" a="1"/>
  <c r="AA91" i="30" s="1"/>
  <c r="AF48" i="19"/>
  <c r="D48" i="19"/>
  <c r="BG48" i="19" s="1" a="1"/>
  <c r="BG48" i="19" s="1"/>
  <c r="D25" i="19"/>
  <c r="CA25" i="19" s="1"/>
  <c r="D26" i="19"/>
  <c r="D43" i="19"/>
  <c r="BG43" i="19" s="1" a="1"/>
  <c r="BG43" i="19" s="1"/>
  <c r="D31" i="19"/>
  <c r="BG31" i="19" s="1" a="1"/>
  <c r="BG31" i="19" s="1"/>
  <c r="AI35" i="19"/>
  <c r="J29" i="16"/>
  <c r="AI54" i="19"/>
  <c r="AI36" i="19"/>
  <c r="J27" i="16"/>
  <c r="J45" i="16"/>
  <c r="AI59" i="19"/>
  <c r="AI38" i="19"/>
  <c r="AI43" i="19"/>
  <c r="AI31" i="19"/>
  <c r="AI27" i="19"/>
  <c r="AI48" i="19"/>
  <c r="J22" i="16"/>
  <c r="J18" i="16"/>
  <c r="J39" i="16"/>
  <c r="J21" i="16"/>
  <c r="AI24" i="19"/>
  <c r="AI30" i="19"/>
  <c r="J15" i="16"/>
  <c r="AI53" i="19"/>
  <c r="AI47" i="19"/>
  <c r="J31" i="16"/>
  <c r="J44" i="16"/>
  <c r="J38" i="16"/>
  <c r="AI40" i="19"/>
  <c r="J47" i="16"/>
  <c r="AI56" i="19"/>
  <c r="J41" i="16"/>
  <c r="AI50" i="19"/>
  <c r="J32" i="16"/>
  <c r="AI41" i="19"/>
  <c r="AI51" i="19"/>
  <c r="J17" i="16"/>
  <c r="AI26" i="19"/>
  <c r="J42" i="16"/>
  <c r="J36" i="16"/>
  <c r="J40" i="16"/>
  <c r="J50" i="16"/>
  <c r="AI49" i="19"/>
  <c r="AI45" i="19"/>
  <c r="D22" i="19"/>
  <c r="J34" i="16"/>
  <c r="J16" i="16"/>
  <c r="AI25" i="19"/>
  <c r="AI22" i="19"/>
  <c r="J13" i="16"/>
  <c r="L24" i="19"/>
  <c r="AA24" i="19" s="1"/>
  <c r="L37" i="19"/>
  <c r="AA37" i="19" s="1"/>
  <c r="L30" i="19"/>
  <c r="L33" i="19"/>
  <c r="AA33" i="19" s="1"/>
  <c r="L52" i="19"/>
  <c r="AA52" i="19" s="1"/>
  <c r="L55" i="19"/>
  <c r="AA55" i="19" s="1"/>
  <c r="L47" i="19"/>
  <c r="L50" i="19"/>
  <c r="AA50" i="19" s="1"/>
  <c r="L61" i="19"/>
  <c r="AA61" i="19" s="1"/>
  <c r="L28" i="19"/>
  <c r="AA28" i="19" s="1"/>
  <c r="L60" i="19"/>
  <c r="AA60" i="19" s="1"/>
  <c r="L32" i="19"/>
  <c r="AA32" i="19" s="1"/>
  <c r="L36" i="19"/>
  <c r="L38" i="19"/>
  <c r="AA38" i="19" s="1"/>
  <c r="L53" i="19"/>
  <c r="AA53" i="19" s="1"/>
  <c r="L49" i="19"/>
  <c r="AA49" i="19" s="1"/>
  <c r="B17" i="39"/>
  <c r="M17" i="39" a="1"/>
  <c r="M17" i="39" s="1"/>
  <c r="B22" i="39"/>
  <c r="M22" i="39" a="1"/>
  <c r="M22" i="39" s="1"/>
  <c r="B15" i="39"/>
  <c r="M15" i="39" a="1"/>
  <c r="M15" i="39" s="1"/>
  <c r="B21" i="39"/>
  <c r="M21" i="39" a="1"/>
  <c r="M21" i="39" s="1"/>
  <c r="B26" i="39"/>
  <c r="M26" i="39" a="1"/>
  <c r="M26" i="39" s="1"/>
  <c r="B2" i="39"/>
  <c r="B34" i="39"/>
  <c r="M34" i="39" a="1"/>
  <c r="M34" i="39" s="1"/>
  <c r="B36" i="39"/>
  <c r="M36" i="39" a="1"/>
  <c r="M36" i="39" s="1"/>
  <c r="B39" i="39"/>
  <c r="M39" i="39" a="1"/>
  <c r="M39" i="39" s="1"/>
  <c r="B3" i="39"/>
  <c r="B28" i="39"/>
  <c r="M28" i="39" a="1"/>
  <c r="M28" i="39" s="1"/>
  <c r="B9" i="39"/>
  <c r="B19" i="39"/>
  <c r="M19" i="39" a="1"/>
  <c r="M19" i="39" s="1"/>
  <c r="B20" i="39"/>
  <c r="M20" i="39" a="1"/>
  <c r="M20" i="39" s="1"/>
  <c r="B25" i="39"/>
  <c r="M25" i="39" a="1"/>
  <c r="M25" i="39" s="1"/>
  <c r="B31" i="39"/>
  <c r="M31" i="39" a="1"/>
  <c r="M31" i="39" s="1"/>
  <c r="B23" i="39"/>
  <c r="M23" i="39" a="1"/>
  <c r="M23" i="39" s="1"/>
  <c r="B12" i="39"/>
  <c r="B32" i="39"/>
  <c r="M32" i="39" a="1"/>
  <c r="M32" i="39" s="1"/>
  <c r="B8" i="39"/>
  <c r="B33" i="39"/>
  <c r="M33" i="39" a="1"/>
  <c r="M33" i="39" s="1"/>
  <c r="B37" i="39"/>
  <c r="M37" i="39" a="1"/>
  <c r="M37" i="39" s="1"/>
  <c r="B5" i="39"/>
  <c r="B11" i="39"/>
  <c r="B16" i="39"/>
  <c r="M16" i="39" a="1"/>
  <c r="M16" i="39" s="1"/>
  <c r="B6" i="39"/>
  <c r="B7" i="39"/>
  <c r="B27" i="39"/>
  <c r="M27" i="39" a="1"/>
  <c r="M27" i="39" s="1"/>
  <c r="B13" i="39"/>
  <c r="B38" i="39"/>
  <c r="M38" i="39" a="1"/>
  <c r="M38" i="39" s="1"/>
  <c r="B40" i="39"/>
  <c r="M40" i="39" a="1"/>
  <c r="M40" i="39" s="1"/>
  <c r="B24" i="39"/>
  <c r="M24" i="39" a="1"/>
  <c r="M24" i="39" s="1"/>
  <c r="B29" i="39"/>
  <c r="M29" i="39" a="1"/>
  <c r="M29" i="39" s="1"/>
  <c r="B30" i="39"/>
  <c r="M30" i="39" a="1"/>
  <c r="M30" i="39" s="1"/>
  <c r="B35" i="39"/>
  <c r="M35" i="39" a="1"/>
  <c r="M35" i="39" s="1"/>
  <c r="B41" i="39"/>
  <c r="M41" i="39" a="1"/>
  <c r="M41" i="39" s="1"/>
  <c r="B14" i="39"/>
  <c r="B10" i="39"/>
  <c r="B42" i="39"/>
  <c r="M42" i="39" a="1"/>
  <c r="M42" i="39" s="1"/>
  <c r="B18" i="39"/>
  <c r="M18" i="39" a="1"/>
  <c r="M18" i="39" s="1"/>
  <c r="B4" i="39"/>
  <c r="AV46" i="19"/>
  <c r="I53" i="19"/>
  <c r="BY53" i="19" s="1"/>
  <c r="I24" i="19"/>
  <c r="BY24" i="19" s="1"/>
  <c r="I38" i="19"/>
  <c r="BY38" i="19" s="1"/>
  <c r="I41" i="19"/>
  <c r="BY41" i="19" s="1"/>
  <c r="I55" i="19"/>
  <c r="BY55" i="19" s="1"/>
  <c r="I56" i="19"/>
  <c r="BY56" i="19" s="1"/>
  <c r="I23" i="19"/>
  <c r="BY23" i="19" s="1"/>
  <c r="I33" i="19"/>
  <c r="BY33" i="19" s="1"/>
  <c r="I62" i="19"/>
  <c r="BY62" i="19" s="1"/>
  <c r="I30" i="19"/>
  <c r="BY30" i="19" s="1"/>
  <c r="I47" i="19"/>
  <c r="BY47" i="19" s="1"/>
  <c r="I28" i="19"/>
  <c r="BY28" i="19" s="1"/>
  <c r="I52" i="19"/>
  <c r="BY52" i="19" s="1"/>
  <c r="I60" i="19"/>
  <c r="BY60" i="19" s="1"/>
  <c r="I37" i="19"/>
  <c r="BY37" i="19" s="1"/>
  <c r="I61" i="19"/>
  <c r="BY61" i="19" s="1"/>
  <c r="I42" i="19"/>
  <c r="BY42" i="19" s="1"/>
  <c r="I57" i="19"/>
  <c r="BY57" i="19" s="1"/>
  <c r="I36" i="19"/>
  <c r="BY36" i="19" s="1"/>
  <c r="I32" i="19"/>
  <c r="BY32" i="19" s="1"/>
  <c r="I49" i="19"/>
  <c r="BY49" i="19" s="1"/>
  <c r="I50" i="19"/>
  <c r="BY50" i="19" s="1"/>
  <c r="D22" i="39"/>
  <c r="C22" i="39"/>
  <c r="D42" i="39"/>
  <c r="C42" i="39"/>
  <c r="D35" i="39"/>
  <c r="C35" i="39"/>
  <c r="D41" i="39"/>
  <c r="C41" i="39"/>
  <c r="D16" i="39"/>
  <c r="C16" i="39"/>
  <c r="C10" i="39"/>
  <c r="D10" i="39"/>
  <c r="D2" i="39"/>
  <c r="C2" i="39"/>
  <c r="D34" i="39"/>
  <c r="C34" i="39"/>
  <c r="D15" i="39"/>
  <c r="C15" i="39"/>
  <c r="D18" i="39"/>
  <c r="C18" i="39"/>
  <c r="D4" i="39"/>
  <c r="C4" i="39"/>
  <c r="D29" i="39"/>
  <c r="C29" i="39"/>
  <c r="D14" i="39"/>
  <c r="C14" i="39"/>
  <c r="D17" i="39"/>
  <c r="C17" i="39"/>
  <c r="D37" i="39"/>
  <c r="C37" i="39"/>
  <c r="D21" i="39"/>
  <c r="C21" i="39"/>
  <c r="D26" i="39"/>
  <c r="C26" i="39"/>
  <c r="C30" i="39"/>
  <c r="D30" i="39"/>
  <c r="D36" i="39"/>
  <c r="C36" i="39"/>
  <c r="D39" i="39"/>
  <c r="C39" i="39"/>
  <c r="D23" i="39"/>
  <c r="C23" i="39"/>
  <c r="D9" i="39"/>
  <c r="C9" i="39"/>
  <c r="D27" i="39"/>
  <c r="C27" i="39"/>
  <c r="D19" i="39"/>
  <c r="C19" i="39"/>
  <c r="C40" i="39"/>
  <c r="D40" i="39"/>
  <c r="D6" i="39"/>
  <c r="C6" i="39"/>
  <c r="D11" i="39"/>
  <c r="C11" i="39"/>
  <c r="D38" i="39"/>
  <c r="C38" i="39"/>
  <c r="D12" i="39"/>
  <c r="C12" i="39"/>
  <c r="C20" i="39"/>
  <c r="D20" i="39"/>
  <c r="D3" i="39"/>
  <c r="C3" i="39"/>
  <c r="D28" i="39"/>
  <c r="C28" i="39"/>
  <c r="D24" i="39"/>
  <c r="C24" i="39"/>
  <c r="D32" i="39"/>
  <c r="C32" i="39"/>
  <c r="D25" i="39"/>
  <c r="C25" i="39"/>
  <c r="D31" i="39"/>
  <c r="C31" i="39"/>
  <c r="D13" i="39"/>
  <c r="C13" i="39"/>
  <c r="D7" i="39"/>
  <c r="C7" i="39"/>
  <c r="D5" i="39"/>
  <c r="C5" i="39"/>
  <c r="D8" i="39"/>
  <c r="C8" i="39"/>
  <c r="D33" i="39"/>
  <c r="C33" i="39"/>
  <c r="AA85" i="30" a="1"/>
  <c r="AA85" i="30" s="1"/>
  <c r="AF24" i="19"/>
  <c r="AW42" i="19"/>
  <c r="K32" i="32"/>
  <c r="AW44" i="19"/>
  <c r="K34" i="32"/>
  <c r="AF51" i="19"/>
  <c r="AF41" i="19"/>
  <c r="AF46" i="19"/>
  <c r="AF23" i="19"/>
  <c r="AF43" i="19"/>
  <c r="I13" i="32"/>
  <c r="G14" i="16" s="1"/>
  <c r="AW59" i="19"/>
  <c r="K25" i="32"/>
  <c r="K13" i="32"/>
  <c r="K18" i="32"/>
  <c r="AW23" i="19"/>
  <c r="AF42" i="19"/>
  <c r="L18" i="32"/>
  <c r="K49" i="32"/>
  <c r="AF59" i="19"/>
  <c r="G14" i="32"/>
  <c r="O14" i="32" s="1"/>
  <c r="K30" i="32"/>
  <c r="H12" i="32"/>
  <c r="G17" i="32"/>
  <c r="I22" i="32"/>
  <c r="G23" i="16" s="1"/>
  <c r="L30" i="32"/>
  <c r="I26" i="32"/>
  <c r="G27" i="16" s="1"/>
  <c r="K28" i="32"/>
  <c r="I23" i="32"/>
  <c r="G24" i="16" s="1"/>
  <c r="I31" i="32"/>
  <c r="G32" i="16" s="1"/>
  <c r="G12" i="32"/>
  <c r="G13" i="32"/>
  <c r="O13" i="32" s="1"/>
  <c r="H18" i="32"/>
  <c r="H14" i="32"/>
  <c r="G20" i="32"/>
  <c r="I16" i="32"/>
  <c r="G17" i="16" s="1"/>
  <c r="L42" i="19"/>
  <c r="AA42" i="19" s="1"/>
  <c r="G16" i="32"/>
  <c r="H13" i="32"/>
  <c r="G19" i="32"/>
  <c r="G27" i="32"/>
  <c r="O27" i="32" s="1"/>
  <c r="I39" i="32"/>
  <c r="G40" i="16" s="1"/>
  <c r="G43" i="32"/>
  <c r="O43" i="32" s="1"/>
  <c r="G24" i="32"/>
  <c r="G30" i="32"/>
  <c r="H44" i="32"/>
  <c r="H47" i="32"/>
  <c r="H35" i="32"/>
  <c r="G42" i="32"/>
  <c r="O42" i="32" s="1"/>
  <c r="H31" i="32"/>
  <c r="I14" i="32"/>
  <c r="G15" i="16" s="1"/>
  <c r="I46" i="32"/>
  <c r="G47" i="16" s="1"/>
  <c r="H20" i="32"/>
  <c r="G44" i="32"/>
  <c r="G28" i="32"/>
  <c r="O28" i="32" s="1"/>
  <c r="H28" i="32"/>
  <c r="I42" i="32"/>
  <c r="G43" i="16" s="1"/>
  <c r="G22" i="32"/>
  <c r="G45" i="32"/>
  <c r="O45" i="32" s="1"/>
  <c r="I50" i="32"/>
  <c r="G51" i="16" s="1"/>
  <c r="I43" i="32"/>
  <c r="G44" i="16" s="1"/>
  <c r="H17" i="32"/>
  <c r="I29" i="32"/>
  <c r="G30" i="16" s="1"/>
  <c r="I30" i="32"/>
  <c r="G31" i="16" s="1"/>
  <c r="H27" i="32"/>
  <c r="G26" i="32"/>
  <c r="H25" i="32"/>
  <c r="I15" i="32"/>
  <c r="G16" i="16" s="1"/>
  <c r="I18" i="32"/>
  <c r="G19" i="16" s="1"/>
  <c r="I37" i="32"/>
  <c r="G38" i="16" s="1"/>
  <c r="H24" i="32"/>
  <c r="I47" i="32"/>
  <c r="G48" i="16" s="1"/>
  <c r="H16" i="32"/>
  <c r="G31" i="32"/>
  <c r="G29" i="32"/>
  <c r="G40" i="32"/>
  <c r="O40" i="32" s="1"/>
  <c r="H39" i="32"/>
  <c r="I25" i="32"/>
  <c r="G26" i="16" s="1"/>
  <c r="I17" i="32"/>
  <c r="G18" i="16" s="1"/>
  <c r="G46" i="32"/>
  <c r="G35" i="32"/>
  <c r="H29" i="32"/>
  <c r="H40" i="32"/>
  <c r="H19" i="32"/>
  <c r="H49" i="32"/>
  <c r="H15" i="32"/>
  <c r="H45" i="32"/>
  <c r="G32" i="32"/>
  <c r="O32" i="32" s="1"/>
  <c r="G25" i="32"/>
  <c r="L28" i="32"/>
  <c r="G23" i="32"/>
  <c r="H42" i="32"/>
  <c r="G18" i="32"/>
  <c r="O18" i="32" s="1"/>
  <c r="G36" i="32"/>
  <c r="G15" i="32"/>
  <c r="I33" i="32"/>
  <c r="G34" i="16" s="1"/>
  <c r="H30" i="32"/>
  <c r="H26" i="32"/>
  <c r="H51" i="32"/>
  <c r="L36" i="32"/>
  <c r="H38" i="32"/>
  <c r="H23" i="32"/>
  <c r="I28" i="32"/>
  <c r="G29" i="16" s="1"/>
  <c r="I24" i="32"/>
  <c r="G25" i="16" s="1"/>
  <c r="I49" i="32"/>
  <c r="G50" i="16" s="1"/>
  <c r="H41" i="32"/>
  <c r="H22" i="32"/>
  <c r="I35" i="32"/>
  <c r="G36" i="16" s="1"/>
  <c r="G37" i="32"/>
  <c r="H21" i="32"/>
  <c r="H36" i="32"/>
  <c r="G38" i="32"/>
  <c r="G50" i="32"/>
  <c r="O50" i="32" s="1"/>
  <c r="G48" i="32"/>
  <c r="I40" i="32"/>
  <c r="G41" i="16" s="1"/>
  <c r="I41" i="32"/>
  <c r="G42" i="16" s="1"/>
  <c r="I19" i="32"/>
  <c r="G20" i="16" s="1"/>
  <c r="I21" i="32"/>
  <c r="G22" i="16" s="1"/>
  <c r="G51" i="32"/>
  <c r="O51" i="32" s="1"/>
  <c r="I32" i="32"/>
  <c r="G33" i="16" s="1"/>
  <c r="G39" i="32"/>
  <c r="G41" i="32"/>
  <c r="H48" i="32"/>
  <c r="I44" i="32"/>
  <c r="G45" i="16" s="1"/>
  <c r="I48" i="32"/>
  <c r="G49" i="16" s="1"/>
  <c r="H32" i="32"/>
  <c r="G49" i="32"/>
  <c r="I20" i="32"/>
  <c r="G21" i="16" s="1"/>
  <c r="H43" i="32"/>
  <c r="G34" i="32"/>
  <c r="I51" i="32"/>
  <c r="G52" i="16" s="1"/>
  <c r="H37" i="32"/>
  <c r="I36" i="32"/>
  <c r="G37" i="16" s="1"/>
  <c r="H33" i="32"/>
  <c r="I38" i="32"/>
  <c r="G39" i="16" s="1"/>
  <c r="G21" i="32"/>
  <c r="I45" i="32"/>
  <c r="G46" i="16" s="1"/>
  <c r="G47" i="32"/>
  <c r="H34" i="32"/>
  <c r="H50" i="32"/>
  <c r="I34" i="32"/>
  <c r="G35" i="16" s="1"/>
  <c r="H46" i="32"/>
  <c r="I27" i="32"/>
  <c r="G28" i="16" s="1"/>
  <c r="G33" i="32"/>
  <c r="M61" i="19"/>
  <c r="F51" i="32"/>
  <c r="N51" i="32" s="1"/>
  <c r="D52" i="16"/>
  <c r="F52" i="16" s="1"/>
  <c r="AV57" i="19"/>
  <c r="K47" i="32"/>
  <c r="AW33" i="19"/>
  <c r="L23" i="32"/>
  <c r="M54" i="19"/>
  <c r="D45" i="16"/>
  <c r="F45" i="16" s="1"/>
  <c r="F44" i="32"/>
  <c r="N44" i="32" s="1"/>
  <c r="M27" i="19"/>
  <c r="D18" i="16"/>
  <c r="F18" i="16" s="1"/>
  <c r="F17" i="32"/>
  <c r="N17" i="32" s="1"/>
  <c r="M23" i="19"/>
  <c r="D14" i="16"/>
  <c r="F14" i="16" s="1"/>
  <c r="F13" i="32"/>
  <c r="N13" i="32" s="1"/>
  <c r="M33" i="19"/>
  <c r="D24" i="16"/>
  <c r="F24" i="16" s="1"/>
  <c r="F23" i="32"/>
  <c r="N23" i="32" s="1"/>
  <c r="M49" i="19"/>
  <c r="D40" i="16"/>
  <c r="F40" i="16" s="1"/>
  <c r="F39" i="32"/>
  <c r="N39" i="32" s="1"/>
  <c r="M55" i="19"/>
  <c r="D46" i="16"/>
  <c r="F46" i="16" s="1"/>
  <c r="F45" i="32"/>
  <c r="M45" i="32" s="1"/>
  <c r="M58" i="19"/>
  <c r="D49" i="16"/>
  <c r="F49" i="16" s="1"/>
  <c r="F48" i="32"/>
  <c r="M48" i="32" s="1"/>
  <c r="M43" i="19"/>
  <c r="D34" i="16"/>
  <c r="F34" i="16" s="1"/>
  <c r="F33" i="32"/>
  <c r="N33" i="32" s="1"/>
  <c r="AV47" i="19"/>
  <c r="K37" i="32"/>
  <c r="M28" i="19"/>
  <c r="D19" i="16"/>
  <c r="F19" i="16" s="1"/>
  <c r="F18" i="32"/>
  <c r="N18" i="32" s="1"/>
  <c r="J35" i="32"/>
  <c r="AW54" i="19"/>
  <c r="L44" i="32"/>
  <c r="AW35" i="19"/>
  <c r="L25" i="32"/>
  <c r="AV39" i="19"/>
  <c r="K29" i="32"/>
  <c r="M30" i="19"/>
  <c r="D21" i="16"/>
  <c r="F21" i="16" s="1"/>
  <c r="F20" i="32"/>
  <c r="M20" i="32" s="1"/>
  <c r="J21" i="32"/>
  <c r="M45" i="19"/>
  <c r="D36" i="16"/>
  <c r="F36" i="16" s="1"/>
  <c r="F35" i="32"/>
  <c r="M35" i="32" s="1"/>
  <c r="M47" i="19"/>
  <c r="D38" i="16"/>
  <c r="F38" i="16" s="1"/>
  <c r="F37" i="32"/>
  <c r="M37" i="32" s="1"/>
  <c r="J47" i="32"/>
  <c r="AV56" i="19"/>
  <c r="K46" i="32"/>
  <c r="AW41" i="19"/>
  <c r="L31" i="32"/>
  <c r="AV34" i="19"/>
  <c r="K24" i="32"/>
  <c r="AW55" i="19"/>
  <c r="L45" i="32"/>
  <c r="AW25" i="19"/>
  <c r="L15" i="32"/>
  <c r="AW31" i="19"/>
  <c r="L21" i="32"/>
  <c r="M41" i="19"/>
  <c r="D32" i="16"/>
  <c r="F32" i="16" s="1"/>
  <c r="F31" i="32"/>
  <c r="M31" i="32" s="1"/>
  <c r="M53" i="19"/>
  <c r="D44" i="16"/>
  <c r="F44" i="16" s="1"/>
  <c r="F43" i="32"/>
  <c r="N43" i="32" s="1"/>
  <c r="AV25" i="19"/>
  <c r="K15" i="32"/>
  <c r="AW61" i="19"/>
  <c r="L51" i="32"/>
  <c r="AV37" i="19"/>
  <c r="K27" i="32"/>
  <c r="AW51" i="19"/>
  <c r="L41" i="32"/>
  <c r="J45" i="32"/>
  <c r="J31" i="32"/>
  <c r="J24" i="32"/>
  <c r="AV61" i="19"/>
  <c r="K51" i="32"/>
  <c r="J27" i="32"/>
  <c r="G12" i="30"/>
  <c r="J17" i="32"/>
  <c r="M25" i="19"/>
  <c r="D16" i="16"/>
  <c r="F16" i="16" s="1"/>
  <c r="F15" i="32"/>
  <c r="N15" i="32" s="1"/>
  <c r="AV31" i="19"/>
  <c r="K21" i="32"/>
  <c r="M26" i="19"/>
  <c r="D17" i="16"/>
  <c r="F17" i="16" s="1"/>
  <c r="F16" i="32"/>
  <c r="N16" i="32" s="1"/>
  <c r="M38" i="19"/>
  <c r="D29" i="16"/>
  <c r="F29" i="16" s="1"/>
  <c r="F28" i="32"/>
  <c r="N28" i="32" s="1"/>
  <c r="M35" i="19"/>
  <c r="D26" i="16"/>
  <c r="F26" i="16" s="1"/>
  <c r="F25" i="32"/>
  <c r="N25" i="32" s="1"/>
  <c r="J40" i="32"/>
  <c r="J14" i="32"/>
  <c r="AV22" i="19"/>
  <c r="K12" i="32"/>
  <c r="J50" i="32"/>
  <c r="J22" i="32"/>
  <c r="AV41" i="19"/>
  <c r="K31" i="32"/>
  <c r="J37" i="32"/>
  <c r="I12" i="32"/>
  <c r="G13" i="16" s="1"/>
  <c r="AV58" i="19"/>
  <c r="K48" i="32"/>
  <c r="AV27" i="19"/>
  <c r="K17" i="32"/>
  <c r="M29" i="19"/>
  <c r="D20" i="16"/>
  <c r="F20" i="16" s="1"/>
  <c r="F19" i="32"/>
  <c r="M19" i="32" s="1"/>
  <c r="M52" i="19"/>
  <c r="F42" i="32"/>
  <c r="M42" i="32" s="1"/>
  <c r="D43" i="16"/>
  <c r="F43" i="16" s="1"/>
  <c r="AV52" i="19"/>
  <c r="K42" i="32"/>
  <c r="AV48" i="19"/>
  <c r="K38" i="32"/>
  <c r="AV30" i="19"/>
  <c r="K20" i="32"/>
  <c r="AV29" i="19"/>
  <c r="K19" i="32"/>
  <c r="AW48" i="19"/>
  <c r="L38" i="32"/>
  <c r="G123" i="30"/>
  <c r="AW58" i="19"/>
  <c r="L48" i="32"/>
  <c r="M44" i="19"/>
  <c r="D35" i="16"/>
  <c r="F35" i="16" s="1"/>
  <c r="F34" i="32"/>
  <c r="M34" i="32" s="1"/>
  <c r="M56" i="19"/>
  <c r="D47" i="16"/>
  <c r="F47" i="16" s="1"/>
  <c r="F46" i="32"/>
  <c r="M46" i="32" s="1"/>
  <c r="M39" i="19"/>
  <c r="D30" i="16"/>
  <c r="F30" i="16" s="1"/>
  <c r="F29" i="32"/>
  <c r="M29" i="32" s="1"/>
  <c r="M40" i="19"/>
  <c r="D31" i="16"/>
  <c r="F31" i="16" s="1"/>
  <c r="F30" i="32"/>
  <c r="N30" i="32" s="1"/>
  <c r="M34" i="19"/>
  <c r="D25" i="16"/>
  <c r="F25" i="16" s="1"/>
  <c r="F24" i="32"/>
  <c r="N24" i="32" s="1"/>
  <c r="M32" i="19"/>
  <c r="F22" i="32"/>
  <c r="N22" i="32" s="1"/>
  <c r="D23" i="16"/>
  <c r="F23" i="16" s="1"/>
  <c r="J33" i="32"/>
  <c r="AW37" i="19"/>
  <c r="L27" i="32"/>
  <c r="AW52" i="19"/>
  <c r="L42" i="32"/>
  <c r="AW34" i="19"/>
  <c r="L24" i="32"/>
  <c r="AW36" i="19"/>
  <c r="L26" i="32"/>
  <c r="M59" i="19"/>
  <c r="D50" i="16"/>
  <c r="F50" i="16" s="1"/>
  <c r="F49" i="32"/>
  <c r="N49" i="32" s="1"/>
  <c r="AW26" i="19"/>
  <c r="L16" i="32"/>
  <c r="J48" i="32"/>
  <c r="G108" i="30"/>
  <c r="AV50" i="19"/>
  <c r="K40" i="32"/>
  <c r="AW27" i="19"/>
  <c r="L17" i="32"/>
  <c r="M24" i="19"/>
  <c r="D15" i="16"/>
  <c r="F15" i="16" s="1"/>
  <c r="F14" i="32"/>
  <c r="N14" i="32" s="1"/>
  <c r="AV43" i="19"/>
  <c r="K33" i="32"/>
  <c r="M22" i="19"/>
  <c r="F12" i="32"/>
  <c r="N12" i="32" s="1"/>
  <c r="D13" i="16"/>
  <c r="F13" i="16" s="1"/>
  <c r="AW60" i="19"/>
  <c r="L50" i="32"/>
  <c r="AV55" i="19"/>
  <c r="K45" i="32"/>
  <c r="AW39" i="19"/>
  <c r="L29" i="32"/>
  <c r="AW30" i="19"/>
  <c r="L20" i="32"/>
  <c r="AW53" i="19"/>
  <c r="L43" i="32"/>
  <c r="J43" i="32"/>
  <c r="AW57" i="19"/>
  <c r="L47" i="32"/>
  <c r="M36" i="19"/>
  <c r="D27" i="16"/>
  <c r="F27" i="16" s="1"/>
  <c r="F26" i="32"/>
  <c r="M26" i="32" s="1"/>
  <c r="M48" i="19"/>
  <c r="D39" i="16"/>
  <c r="F39" i="16" s="1"/>
  <c r="F38" i="32"/>
  <c r="M38" i="32" s="1"/>
  <c r="AV32" i="19"/>
  <c r="K22" i="32"/>
  <c r="AW43" i="19"/>
  <c r="L33" i="32"/>
  <c r="J41" i="32"/>
  <c r="AW22" i="19"/>
  <c r="L12" i="32"/>
  <c r="AW29" i="19"/>
  <c r="L19" i="32"/>
  <c r="AW45" i="19"/>
  <c r="L35" i="32"/>
  <c r="AW24" i="19"/>
  <c r="L14" i="32"/>
  <c r="AV36" i="19"/>
  <c r="K26" i="32"/>
  <c r="J16" i="32"/>
  <c r="AV33" i="19"/>
  <c r="K23" i="32"/>
  <c r="J42" i="32"/>
  <c r="M31" i="19"/>
  <c r="D22" i="16"/>
  <c r="F22" i="16" s="1"/>
  <c r="F21" i="32"/>
  <c r="N21" i="32" s="1"/>
  <c r="M42" i="19"/>
  <c r="F32" i="32"/>
  <c r="N32" i="32" s="1"/>
  <c r="D33" i="16"/>
  <c r="F33" i="16" s="1"/>
  <c r="M57" i="19"/>
  <c r="D48" i="16"/>
  <c r="F48" i="16" s="1"/>
  <c r="F47" i="32"/>
  <c r="M47" i="32" s="1"/>
  <c r="AW47" i="19"/>
  <c r="L37" i="32"/>
  <c r="AW32" i="19"/>
  <c r="L22" i="32"/>
  <c r="J51" i="32"/>
  <c r="J44" i="32"/>
  <c r="AW56" i="19"/>
  <c r="L46" i="32"/>
  <c r="AW49" i="19"/>
  <c r="L39" i="32"/>
  <c r="J19" i="32"/>
  <c r="J38" i="32"/>
  <c r="J46" i="32"/>
  <c r="J15" i="32"/>
  <c r="AV51" i="19"/>
  <c r="K41" i="32"/>
  <c r="J20" i="32"/>
  <c r="J36" i="32"/>
  <c r="M50" i="19"/>
  <c r="D41" i="16"/>
  <c r="F41" i="16" s="1"/>
  <c r="F40" i="32"/>
  <c r="M40" i="32" s="1"/>
  <c r="AV53" i="19"/>
  <c r="K43" i="32"/>
  <c r="M46" i="19"/>
  <c r="D37" i="16"/>
  <c r="F37" i="16" s="1"/>
  <c r="F36" i="32"/>
  <c r="N36" i="32" s="1"/>
  <c r="M60" i="19"/>
  <c r="D51" i="16"/>
  <c r="F51" i="16" s="1"/>
  <c r="F50" i="32"/>
  <c r="M50" i="32" s="1"/>
  <c r="AV26" i="19"/>
  <c r="K16" i="32"/>
  <c r="J23" i="32"/>
  <c r="M51" i="19"/>
  <c r="D42" i="16"/>
  <c r="F42" i="16" s="1"/>
  <c r="F41" i="32"/>
  <c r="N41" i="32" s="1"/>
  <c r="M37" i="19"/>
  <c r="D28" i="16"/>
  <c r="F28" i="16" s="1"/>
  <c r="F27" i="32"/>
  <c r="N27" i="32" s="1"/>
  <c r="AV24" i="19"/>
  <c r="K14" i="32"/>
  <c r="J39" i="32"/>
  <c r="AV54" i="19"/>
  <c r="K44" i="32"/>
  <c r="AV45" i="19"/>
  <c r="K35" i="32"/>
  <c r="J26" i="32"/>
  <c r="AV49" i="19"/>
  <c r="K39" i="32"/>
  <c r="AW50" i="19"/>
  <c r="L40" i="32"/>
  <c r="AV60" i="19"/>
  <c r="K50" i="32"/>
  <c r="AF50" i="19"/>
  <c r="AF49" i="19"/>
  <c r="AF52" i="19"/>
  <c r="AF53" i="19"/>
  <c r="AF54" i="19"/>
  <c r="AF55" i="19"/>
  <c r="AF58" i="19"/>
  <c r="AA17" i="19"/>
  <c r="G21" i="30"/>
  <c r="G84" i="30"/>
  <c r="G51" i="30"/>
  <c r="G87" i="30"/>
  <c r="G81" i="30"/>
  <c r="G126" i="30"/>
  <c r="G39" i="30"/>
  <c r="L24" i="39" a="1"/>
  <c r="L24" i="39" s="1"/>
  <c r="J24" i="39" a="1"/>
  <c r="J24" i="39" s="1"/>
  <c r="L32" i="39" a="1"/>
  <c r="L32" i="39" s="1"/>
  <c r="J32" i="39" a="1"/>
  <c r="J32" i="39" s="1"/>
  <c r="L25" i="39" a="1"/>
  <c r="L25" i="39" s="1"/>
  <c r="J25" i="39" a="1"/>
  <c r="J25" i="39" s="1"/>
  <c r="J31" i="39" a="1"/>
  <c r="J31" i="39" s="1"/>
  <c r="L31" i="39" a="1"/>
  <c r="L31" i="39" s="1"/>
  <c r="L33" i="39" a="1"/>
  <c r="L33" i="39" s="1"/>
  <c r="J33" i="39" a="1"/>
  <c r="J33" i="39" s="1"/>
  <c r="J29" i="39" a="1"/>
  <c r="J29" i="39" s="1"/>
  <c r="L29" i="39" a="1"/>
  <c r="L29" i="39" s="1"/>
  <c r="L27" i="39" a="1"/>
  <c r="L27" i="39" s="1"/>
  <c r="J27" i="39" a="1"/>
  <c r="J27" i="39" s="1"/>
  <c r="J16" i="39" a="1"/>
  <c r="J16" i="39" s="1"/>
  <c r="L30" i="39" a="1"/>
  <c r="L30" i="39" s="1"/>
  <c r="J30" i="39" a="1"/>
  <c r="J30" i="39" s="1"/>
  <c r="L38" i="39" a="1"/>
  <c r="L38" i="39" s="1"/>
  <c r="J38" i="39" a="1"/>
  <c r="J38" i="39" s="1"/>
  <c r="L22" i="39" a="1"/>
  <c r="L22" i="39" s="1"/>
  <c r="J22" i="39" a="1"/>
  <c r="J22" i="39" s="1"/>
  <c r="L42" i="39" a="1"/>
  <c r="L42" i="39" s="1"/>
  <c r="J42" i="39" a="1"/>
  <c r="J42" i="39" s="1"/>
  <c r="L35" i="39" a="1"/>
  <c r="L35" i="39" s="1"/>
  <c r="J35" i="39" a="1"/>
  <c r="J35" i="39" s="1"/>
  <c r="J34" i="39" a="1"/>
  <c r="J34" i="39" s="1"/>
  <c r="L34" i="39" a="1"/>
  <c r="L34" i="39" s="1"/>
  <c r="J15" i="39" a="1"/>
  <c r="J15" i="39" s="1"/>
  <c r="J18" i="39" a="1"/>
  <c r="J18" i="39" s="1"/>
  <c r="J41" i="39" a="1"/>
  <c r="J41" i="39" s="1"/>
  <c r="L41" i="39" a="1"/>
  <c r="L41" i="39" s="1"/>
  <c r="J17" i="39" a="1"/>
  <c r="J17" i="39" s="1"/>
  <c r="L37" i="39" a="1"/>
  <c r="L37" i="39" s="1"/>
  <c r="J37" i="39" a="1"/>
  <c r="J37" i="39" s="1"/>
  <c r="J21" i="39" a="1"/>
  <c r="J21" i="39" s="1"/>
  <c r="L21" i="39" a="1"/>
  <c r="L21" i="39" s="1"/>
  <c r="L36" i="39" a="1"/>
  <c r="L36" i="39" s="1"/>
  <c r="J36" i="39" a="1"/>
  <c r="J36" i="39" s="1"/>
  <c r="J39" i="39" a="1"/>
  <c r="J39" i="39" s="1"/>
  <c r="L39" i="39" a="1"/>
  <c r="L39" i="39" s="1"/>
  <c r="L23" i="39" a="1"/>
  <c r="L23" i="39" s="1"/>
  <c r="J23" i="39" a="1"/>
  <c r="J23" i="39" s="1"/>
  <c r="L26" i="39" a="1"/>
  <c r="L26" i="39" s="1"/>
  <c r="J26" i="39" a="1"/>
  <c r="J26" i="39" s="1"/>
  <c r="J19" i="39" a="1"/>
  <c r="J19" i="39" s="1"/>
  <c r="L40" i="39" a="1"/>
  <c r="L40" i="39" s="1"/>
  <c r="J40" i="39" a="1"/>
  <c r="J40" i="39" s="1"/>
  <c r="J20" i="39" a="1"/>
  <c r="J20" i="39" s="1"/>
  <c r="L28" i="39" a="1"/>
  <c r="L28" i="39" s="1"/>
  <c r="J28" i="39" a="1"/>
  <c r="J28" i="39" s="1"/>
  <c r="L23" i="19"/>
  <c r="AA23" i="19" s="1"/>
  <c r="G36" i="30"/>
  <c r="G60" i="30"/>
  <c r="L62" i="19"/>
  <c r="AA62" i="19" s="1"/>
  <c r="G48" i="30"/>
  <c r="G24" i="30"/>
  <c r="G105" i="30"/>
  <c r="G54" i="30"/>
  <c r="G57" i="30"/>
  <c r="G15" i="30"/>
  <c r="G75" i="30"/>
  <c r="G117" i="30"/>
  <c r="G90" i="30"/>
  <c r="G111" i="30"/>
  <c r="G99" i="30"/>
  <c r="G63" i="30"/>
  <c r="G42" i="30"/>
  <c r="G33" i="30"/>
  <c r="G129" i="30"/>
  <c r="G45" i="30"/>
  <c r="G66" i="30"/>
  <c r="G69" i="30"/>
  <c r="G30" i="30"/>
  <c r="G114" i="30"/>
  <c r="G78" i="30"/>
  <c r="G27" i="30"/>
  <c r="G96" i="30"/>
  <c r="G93" i="30"/>
  <c r="G120" i="30"/>
  <c r="G102" i="30"/>
  <c r="G72" i="30"/>
  <c r="G18" i="30"/>
  <c r="Y80" i="30"/>
  <c r="X80" i="30"/>
  <c r="W80" i="30"/>
  <c r="Z80" i="30"/>
  <c r="V80" i="30"/>
  <c r="V45" i="30"/>
  <c r="X45" i="30"/>
  <c r="Y45" i="30"/>
  <c r="W45" i="30"/>
  <c r="Z45" i="30"/>
  <c r="W30" i="30"/>
  <c r="Y30" i="30"/>
  <c r="V30" i="30"/>
  <c r="X30" i="30"/>
  <c r="W129" i="30"/>
  <c r="V129" i="30"/>
  <c r="Z126" i="30"/>
  <c r="Y129" i="30"/>
  <c r="Z131" i="30"/>
  <c r="W126" i="30"/>
  <c r="Z129" i="30"/>
  <c r="V131" i="30"/>
  <c r="Y126" i="30"/>
  <c r="X131" i="30"/>
  <c r="X129" i="30"/>
  <c r="W131" i="30"/>
  <c r="V126" i="30"/>
  <c r="Y131" i="30"/>
  <c r="V42" i="30"/>
  <c r="Y42" i="30"/>
  <c r="W42" i="30"/>
  <c r="Z42" i="30"/>
  <c r="X42" i="30"/>
  <c r="Y71" i="30"/>
  <c r="Z71" i="30"/>
  <c r="X23" i="30"/>
  <c r="Z23" i="30"/>
  <c r="V71" i="30"/>
  <c r="W71" i="30"/>
  <c r="V23" i="30"/>
  <c r="Y23" i="30"/>
  <c r="V27" i="30"/>
  <c r="X22" i="30"/>
  <c r="W34" i="30"/>
  <c r="Y54" i="30"/>
  <c r="W24" i="30"/>
  <c r="V34" i="30"/>
  <c r="X34" i="30"/>
  <c r="W25" i="30"/>
  <c r="Y24" i="30"/>
  <c r="Y36" i="30"/>
  <c r="V28" i="30"/>
  <c r="Y118" i="30"/>
  <c r="Z27" i="30"/>
  <c r="W118" i="30"/>
  <c r="X28" i="30"/>
  <c r="W124" i="30"/>
  <c r="X36" i="30"/>
  <c r="Y124" i="30"/>
  <c r="Z87" i="30"/>
  <c r="V54" i="30"/>
  <c r="W54" i="30"/>
  <c r="V25" i="30"/>
  <c r="Z22" i="30"/>
  <c r="W36" i="30"/>
  <c r="Y88" i="30"/>
  <c r="X87" i="30"/>
  <c r="Z124" i="30"/>
  <c r="W22" i="30"/>
  <c r="Y28" i="30"/>
  <c r="W88" i="30"/>
  <c r="Z118" i="30"/>
  <c r="W28" i="30"/>
  <c r="Y34" i="30"/>
  <c r="X27" i="30"/>
  <c r="Y87" i="30"/>
  <c r="Y22" i="30"/>
  <c r="W27" i="30"/>
  <c r="V124" i="30"/>
  <c r="X118" i="30"/>
  <c r="W101" i="30"/>
  <c r="V24" i="30"/>
  <c r="Z28" i="30"/>
  <c r="W95" i="30"/>
  <c r="Y101" i="30"/>
  <c r="V119" i="30"/>
  <c r="W87" i="30"/>
  <c r="Z54" i="30"/>
  <c r="V101" i="30"/>
  <c r="Z101" i="30"/>
  <c r="V88" i="30"/>
  <c r="Z88" i="30"/>
  <c r="Z36" i="30"/>
  <c r="AA95" i="30" l="1" a="1"/>
  <c r="AA95" i="30" s="1"/>
  <c r="AA118" i="30" a="1"/>
  <c r="AA118" i="30" s="1"/>
  <c r="L41" i="19"/>
  <c r="AA41" i="19" s="1"/>
  <c r="L57" i="19"/>
  <c r="AA57" i="19" s="1"/>
  <c r="I29" i="19"/>
  <c r="BY29" i="19" s="1"/>
  <c r="L29" i="19"/>
  <c r="I39" i="19"/>
  <c r="BY39" i="19" s="1"/>
  <c r="CG39" i="19" s="1" a="1"/>
  <c r="CG39" i="19" s="1"/>
  <c r="I51" i="19"/>
  <c r="BY51" i="19" s="1"/>
  <c r="L51" i="19"/>
  <c r="AA51" i="19" s="1"/>
  <c r="I27" i="19"/>
  <c r="BY27" i="19" s="1"/>
  <c r="CH27" i="19" s="1" a="1"/>
  <c r="CH27" i="19" s="1"/>
  <c r="L27" i="19"/>
  <c r="CL36" i="19" a="1"/>
  <c r="CL36" i="19" s="1"/>
  <c r="BM27" i="19" a="1"/>
  <c r="BM27" i="19" s="1"/>
  <c r="BV27" i="19" s="1"/>
  <c r="CY27" i="19" a="1"/>
  <c r="CY27" i="19" s="1"/>
  <c r="CZ27" i="19" s="1"/>
  <c r="BQ27" i="19" s="1"/>
  <c r="DE27" i="19" a="1"/>
  <c r="DE27" i="19" s="1"/>
  <c r="DF27" i="19" s="1"/>
  <c r="BW27" i="19" s="1"/>
  <c r="L56" i="19"/>
  <c r="AA56" i="19" s="1"/>
  <c r="BK27" i="19" a="1"/>
  <c r="BK27" i="19" s="1"/>
  <c r="BT27" i="19" s="1"/>
  <c r="DC27" i="19" a="1"/>
  <c r="DC27" i="19" s="1"/>
  <c r="DD27" i="19" s="1"/>
  <c r="BU27" i="19" s="1"/>
  <c r="DA27" i="19" a="1"/>
  <c r="DA27" i="19" s="1"/>
  <c r="DB27" i="19" s="1"/>
  <c r="BS27" i="19" s="1"/>
  <c r="L39" i="19"/>
  <c r="DA41" i="19" a="1"/>
  <c r="DA41" i="19" s="1"/>
  <c r="DB41" i="19" s="1"/>
  <c r="BS41" i="19" s="1"/>
  <c r="BI27" i="19" a="1"/>
  <c r="BI27" i="19" s="1"/>
  <c r="BR27" i="19" s="1"/>
  <c r="CN36" i="19" a="1"/>
  <c r="CN36" i="19" s="1"/>
  <c r="CN47" i="19" a="1"/>
  <c r="CN47" i="19" s="1"/>
  <c r="CO47" i="19" a="1"/>
  <c r="CO47" i="19" s="1"/>
  <c r="CK47" i="19" a="1"/>
  <c r="CK47" i="19" s="1"/>
  <c r="BZ27" i="19"/>
  <c r="CK27" i="19" s="1" a="1"/>
  <c r="CK27" i="19" s="1"/>
  <c r="CO30" i="19" a="1"/>
  <c r="CO30" i="19" s="1"/>
  <c r="CM30" i="19" a="1"/>
  <c r="CM30" i="19" s="1"/>
  <c r="CM47" i="19" a="1"/>
  <c r="CM47" i="19" s="1"/>
  <c r="AA119" i="30" a="1"/>
  <c r="AA119" i="30" s="1"/>
  <c r="AA101" i="30" a="1"/>
  <c r="AA101" i="30" s="1"/>
  <c r="AA88" i="30" a="1"/>
  <c r="AA88" i="30" s="1"/>
  <c r="AA34" i="30" a="1"/>
  <c r="AA34" i="30" s="1"/>
  <c r="AA28" i="30" a="1"/>
  <c r="AA28" i="30" s="1"/>
  <c r="CL30" i="19" a="1"/>
  <c r="CL30" i="19" s="1"/>
  <c r="CK30" i="19" a="1"/>
  <c r="CK30" i="19" s="1"/>
  <c r="DH55" i="19"/>
  <c r="DH32" i="19"/>
  <c r="DH50" i="19"/>
  <c r="DE41" i="19" a="1"/>
  <c r="DE41" i="19" s="1"/>
  <c r="DF41" i="19" s="1"/>
  <c r="BW41" i="19" s="1"/>
  <c r="CY41" i="19" a="1"/>
  <c r="CY41" i="19" s="1"/>
  <c r="CZ41" i="19" s="1"/>
  <c r="BQ41" i="19" s="1"/>
  <c r="BM41" i="19" a="1"/>
  <c r="BM41" i="19" s="1"/>
  <c r="BV41" i="19" s="1"/>
  <c r="DA29" i="19" a="1"/>
  <c r="DA29" i="19" s="1"/>
  <c r="DB29" i="19" s="1"/>
  <c r="BS29" i="19" s="1"/>
  <c r="BK29" i="19" a="1"/>
  <c r="BK29" i="19" s="1"/>
  <c r="BT29" i="19" s="1"/>
  <c r="BM29" i="19" a="1"/>
  <c r="BM29" i="19" s="1"/>
  <c r="BV29" i="19" s="1"/>
  <c r="CK36" i="19" a="1"/>
  <c r="CK36" i="19" s="1"/>
  <c r="CO36" i="19" a="1"/>
  <c r="CO36" i="19" s="1"/>
  <c r="DH42" i="19"/>
  <c r="DH33" i="19"/>
  <c r="CT49" i="19" a="1"/>
  <c r="CT49" i="19" s="1"/>
  <c r="CR49" i="19" a="1"/>
  <c r="CR49" i="19" s="1"/>
  <c r="CQ49" i="19" a="1"/>
  <c r="CQ49" i="19" s="1"/>
  <c r="DH62" i="19"/>
  <c r="DH60" i="19"/>
  <c r="DH58" i="19"/>
  <c r="DH53" i="19"/>
  <c r="DH36" i="19"/>
  <c r="DH28" i="19"/>
  <c r="DH47" i="19"/>
  <c r="DH30" i="19"/>
  <c r="DH61" i="19"/>
  <c r="DH38" i="19"/>
  <c r="DH49" i="19"/>
  <c r="DH52" i="19"/>
  <c r="DH37" i="19"/>
  <c r="DH24" i="19"/>
  <c r="DH23" i="19"/>
  <c r="BK41" i="19" a="1"/>
  <c r="BK41" i="19" s="1"/>
  <c r="BT41" i="19" s="1"/>
  <c r="DC41" i="19" a="1"/>
  <c r="DC41" i="19" s="1"/>
  <c r="DD41" i="19" s="1"/>
  <c r="BU41" i="19" s="1"/>
  <c r="DE29" i="19" a="1"/>
  <c r="DE29" i="19" s="1"/>
  <c r="DF29" i="19" s="1"/>
  <c r="BW29" i="19" s="1"/>
  <c r="DC29" i="19" a="1"/>
  <c r="DC29" i="19" s="1"/>
  <c r="DD29" i="19" s="1"/>
  <c r="BU29" i="19" s="1"/>
  <c r="CY29" i="19" a="1"/>
  <c r="CY29" i="19" s="1"/>
  <c r="CU49" i="19" a="1"/>
  <c r="CU49" i="19" s="1"/>
  <c r="CY57" i="19" a="1"/>
  <c r="CY57" i="19" s="1"/>
  <c r="DC57" i="19" a="1"/>
  <c r="DC57" i="19" s="1"/>
  <c r="DD57" i="19" s="1"/>
  <c r="BU57" i="19" s="1"/>
  <c r="DA57" i="19" a="1"/>
  <c r="DA57" i="19" s="1"/>
  <c r="DB57" i="19" s="1"/>
  <c r="V57" i="19" s="1"/>
  <c r="DE39" i="19" a="1"/>
  <c r="DE39" i="19" s="1"/>
  <c r="DF39" i="19" s="1"/>
  <c r="BW39" i="19" s="1"/>
  <c r="DE57" i="19" a="1"/>
  <c r="DE57" i="19" s="1"/>
  <c r="DF57" i="19" s="1"/>
  <c r="BW57" i="19" s="1"/>
  <c r="BM57" i="19" a="1"/>
  <c r="BM57" i="19" s="1"/>
  <c r="BV57" i="19" s="1"/>
  <c r="DC39" i="19" a="1"/>
  <c r="DC39" i="19" s="1"/>
  <c r="DD39" i="19" s="1"/>
  <c r="BU39" i="19" s="1"/>
  <c r="CY39" i="19" a="1"/>
  <c r="CY39" i="19" s="1"/>
  <c r="DA39" i="19" a="1"/>
  <c r="DA39" i="19" s="1"/>
  <c r="DB39" i="19" s="1"/>
  <c r="BS39" i="19" s="1"/>
  <c r="BM39" i="19" a="1"/>
  <c r="BM39" i="19" s="1"/>
  <c r="BV39" i="19" s="1"/>
  <c r="BK56" i="19" a="1"/>
  <c r="BK56" i="19" s="1"/>
  <c r="BT56" i="19" s="1"/>
  <c r="CY56" i="19" a="1"/>
  <c r="CY56" i="19" s="1"/>
  <c r="DE56" i="19" a="1"/>
  <c r="DE56" i="19" s="1"/>
  <c r="DF56" i="19" s="1"/>
  <c r="BW56" i="19" s="1"/>
  <c r="CQ41" i="19" a="1"/>
  <c r="CQ41" i="19" s="1"/>
  <c r="CR41" i="19" a="1"/>
  <c r="CR41" i="19" s="1"/>
  <c r="CS41" i="19" a="1"/>
  <c r="CS41" i="19" s="1"/>
  <c r="CU41" i="19" a="1"/>
  <c r="CU41" i="19" s="1"/>
  <c r="CT41" i="19" a="1"/>
  <c r="CT41" i="19" s="1"/>
  <c r="DC51" i="19" a="1"/>
  <c r="DC51" i="19" s="1"/>
  <c r="DD51" i="19" s="1"/>
  <c r="BU51" i="19" s="1"/>
  <c r="BM56" i="19" a="1"/>
  <c r="BM56" i="19" s="1"/>
  <c r="BV56" i="19" s="1"/>
  <c r="DC56" i="19" a="1"/>
  <c r="DC56" i="19" s="1"/>
  <c r="DD56" i="19" s="1"/>
  <c r="BU56" i="19" s="1"/>
  <c r="DA56" i="19" a="1"/>
  <c r="DA56" i="19" s="1"/>
  <c r="DB56" i="19" s="1"/>
  <c r="BS56" i="19" s="1"/>
  <c r="DA51" i="19" a="1"/>
  <c r="DA51" i="19" s="1"/>
  <c r="DB51" i="19" s="1"/>
  <c r="BS51" i="19" s="1"/>
  <c r="DE59" i="19" a="1"/>
  <c r="DE59" i="19" s="1"/>
  <c r="DF59" i="19" s="1"/>
  <c r="BW59" i="19" s="1"/>
  <c r="DC59" i="19" a="1"/>
  <c r="DC59" i="19" s="1"/>
  <c r="DD59" i="19" s="1"/>
  <c r="BU59" i="19" s="1"/>
  <c r="BM59" i="19" a="1"/>
  <c r="BM59" i="19" s="1"/>
  <c r="BV59" i="19" s="1"/>
  <c r="CY59" i="19" a="1"/>
  <c r="CY59" i="19" s="1"/>
  <c r="BK57" i="19" a="1"/>
  <c r="BK57" i="19" s="1"/>
  <c r="BT57" i="19" s="1"/>
  <c r="BK59" i="19" a="1"/>
  <c r="BK59" i="19" s="1"/>
  <c r="BT59" i="19" s="1"/>
  <c r="BI56" i="19" a="1"/>
  <c r="BI56" i="19" s="1"/>
  <c r="BR56" i="19" s="1"/>
  <c r="CA56" i="19"/>
  <c r="CZ30" i="19"/>
  <c r="BQ30" i="19" s="1"/>
  <c r="DG30" i="19"/>
  <c r="CZ50" i="19"/>
  <c r="BQ50" i="19" s="1"/>
  <c r="DG50" i="19"/>
  <c r="CZ37" i="19"/>
  <c r="BQ37" i="19" s="1"/>
  <c r="DG37" i="19"/>
  <c r="CZ24" i="19"/>
  <c r="BQ24" i="19" s="1"/>
  <c r="DG24" i="19"/>
  <c r="CZ55" i="19"/>
  <c r="BQ55" i="19" s="1"/>
  <c r="DG55" i="19"/>
  <c r="CZ23" i="19"/>
  <c r="BQ23" i="19" s="1"/>
  <c r="DG23" i="19"/>
  <c r="CZ38" i="19"/>
  <c r="BQ38" i="19" s="1"/>
  <c r="DG38" i="19"/>
  <c r="CZ36" i="19"/>
  <c r="BQ36" i="19" s="1"/>
  <c r="DG36" i="19"/>
  <c r="CZ32" i="19"/>
  <c r="BQ32" i="19" s="1"/>
  <c r="DG32" i="19"/>
  <c r="CZ62" i="19"/>
  <c r="BQ62" i="19" s="1"/>
  <c r="DG62" i="19"/>
  <c r="CZ49" i="19"/>
  <c r="BQ49" i="19" s="1"/>
  <c r="DG49" i="19"/>
  <c r="CZ60" i="19"/>
  <c r="BQ60" i="19" s="1"/>
  <c r="DG60" i="19"/>
  <c r="CZ28" i="19"/>
  <c r="BQ28" i="19" s="1"/>
  <c r="DG28" i="19"/>
  <c r="CZ52" i="19"/>
  <c r="BQ52" i="19" s="1"/>
  <c r="DG52" i="19"/>
  <c r="CZ53" i="19"/>
  <c r="BQ53" i="19" s="1"/>
  <c r="DG53" i="19"/>
  <c r="CZ61" i="19"/>
  <c r="BQ61" i="19" s="1"/>
  <c r="DG61" i="19"/>
  <c r="BK51" i="19" a="1"/>
  <c r="BK51" i="19" s="1"/>
  <c r="BT51" i="19" s="1"/>
  <c r="CZ58" i="19"/>
  <c r="BQ58" i="19" s="1"/>
  <c r="DG58" i="19"/>
  <c r="BM51" i="19" a="1"/>
  <c r="BM51" i="19" s="1"/>
  <c r="BV51" i="19" s="1"/>
  <c r="CZ42" i="19"/>
  <c r="BQ42" i="19" s="1"/>
  <c r="DG42" i="19"/>
  <c r="CZ47" i="19"/>
  <c r="BQ47" i="19" s="1"/>
  <c r="DG47" i="19"/>
  <c r="CZ33" i="19"/>
  <c r="BQ33" i="19" s="1"/>
  <c r="DG33" i="19"/>
  <c r="BZ26" i="19"/>
  <c r="CL26" i="19" s="1" a="1"/>
  <c r="CL26" i="19" s="1"/>
  <c r="BG26" i="19" a="1"/>
  <c r="BG26" i="19" s="1"/>
  <c r="BP26" i="19" s="1"/>
  <c r="BZ25" i="19"/>
  <c r="CK25" i="19" s="1" a="1"/>
  <c r="CK25" i="19" s="1"/>
  <c r="BG25" i="19" a="1"/>
  <c r="BG25" i="19" s="1"/>
  <c r="BP25" i="19" s="1"/>
  <c r="BZ29" i="19"/>
  <c r="BZ57" i="19"/>
  <c r="CM57" i="19" s="1" a="1"/>
  <c r="CM57" i="19" s="1"/>
  <c r="BG57" i="19" a="1"/>
  <c r="BG57" i="19" s="1"/>
  <c r="BP57" i="19" s="1"/>
  <c r="BZ39" i="19"/>
  <c r="CN39" i="19" s="1" a="1"/>
  <c r="CN39" i="19" s="1"/>
  <c r="BG39" i="19" a="1"/>
  <c r="BG39" i="19" s="1"/>
  <c r="BP39" i="19" s="1"/>
  <c r="CA57" i="19"/>
  <c r="BZ41" i="19"/>
  <c r="CN41" i="19" s="1" a="1"/>
  <c r="CN41" i="19" s="1"/>
  <c r="BG41" i="19" a="1"/>
  <c r="BG41" i="19" s="1"/>
  <c r="BP41" i="19" s="1"/>
  <c r="CY51" i="19" a="1"/>
  <c r="CY51" i="19" s="1"/>
  <c r="BG51" i="19" a="1"/>
  <c r="BG51" i="19" s="1"/>
  <c r="BP51" i="19" s="1"/>
  <c r="BZ22" i="19"/>
  <c r="CO22" i="19" s="1" a="1"/>
  <c r="CO22" i="19" s="1"/>
  <c r="BG22" i="19" a="1"/>
  <c r="BG22" i="19" s="1"/>
  <c r="BI59" i="19" a="1"/>
  <c r="BI59" i="19" s="1"/>
  <c r="BR59" i="19" s="1"/>
  <c r="BG59" i="19" a="1"/>
  <c r="BG59" i="19" s="1"/>
  <c r="BP59" i="19" s="1"/>
  <c r="BI29" i="19" a="1"/>
  <c r="BI29" i="19" s="1"/>
  <c r="BR29" i="19" s="1"/>
  <c r="CA51" i="19"/>
  <c r="BI39" i="19" a="1"/>
  <c r="BI39" i="19" s="1"/>
  <c r="BR39" i="19" s="1"/>
  <c r="BI41" i="19" a="1"/>
  <c r="BI41" i="19" s="1"/>
  <c r="BR41" i="19" s="1"/>
  <c r="BI51" i="19" a="1"/>
  <c r="BI51" i="19" s="1"/>
  <c r="BR51" i="19" s="1"/>
  <c r="BZ59" i="19"/>
  <c r="CL59" i="19" s="1" a="1"/>
  <c r="CL59" i="19" s="1"/>
  <c r="CA59" i="19"/>
  <c r="CT59" i="19" s="1" a="1"/>
  <c r="CT59" i="19" s="1"/>
  <c r="X30" i="19"/>
  <c r="X23" i="19"/>
  <c r="Z49" i="19"/>
  <c r="Z53" i="19"/>
  <c r="Z61" i="19"/>
  <c r="X62" i="19"/>
  <c r="Z50" i="19"/>
  <c r="Z33" i="19"/>
  <c r="Z28" i="19"/>
  <c r="X47" i="19"/>
  <c r="X37" i="19"/>
  <c r="X49" i="19"/>
  <c r="X50" i="19"/>
  <c r="BI48" i="19" a="1"/>
  <c r="BI48" i="19" s="1"/>
  <c r="BR48" i="19" s="1"/>
  <c r="BI40" i="19" a="1"/>
  <c r="BI40" i="19" s="1"/>
  <c r="BR40" i="19" s="1"/>
  <c r="BI44" i="19" a="1"/>
  <c r="BI44" i="19" s="1"/>
  <c r="BR44" i="19" s="1"/>
  <c r="Z62" i="19"/>
  <c r="V32" i="19"/>
  <c r="BI54" i="19" a="1"/>
  <c r="BI54" i="19" s="1"/>
  <c r="BR54" i="19" s="1"/>
  <c r="BI45" i="19" a="1"/>
  <c r="BI45" i="19" s="1"/>
  <c r="BR45" i="19" s="1"/>
  <c r="BI22" i="19" a="1"/>
  <c r="BI22" i="19" s="1"/>
  <c r="BR22" i="19" s="1"/>
  <c r="BI35" i="19" a="1"/>
  <c r="BI35" i="19" s="1"/>
  <c r="BR35" i="19" s="1"/>
  <c r="V42" i="19"/>
  <c r="BI31" i="19" a="1"/>
  <c r="BI31" i="19" s="1"/>
  <c r="BR31" i="19" s="1"/>
  <c r="X55" i="19"/>
  <c r="V37" i="19"/>
  <c r="BI43" i="19" a="1"/>
  <c r="BI43" i="19" s="1"/>
  <c r="BR43" i="19" s="1"/>
  <c r="BI34" i="19" a="1"/>
  <c r="BI34" i="19" s="1"/>
  <c r="BR34" i="19" s="1"/>
  <c r="BI26" i="19" a="1"/>
  <c r="BI26" i="19" s="1"/>
  <c r="BR26" i="19" s="1"/>
  <c r="BI25" i="19" a="1"/>
  <c r="BI25" i="19" s="1"/>
  <c r="BR25" i="19" s="1"/>
  <c r="BI46" i="19" a="1"/>
  <c r="BI46" i="19" s="1"/>
  <c r="BR46" i="19" s="1"/>
  <c r="Z60" i="19"/>
  <c r="BK45" i="19" a="1"/>
  <c r="BK45" i="19" s="1"/>
  <c r="BT45" i="19" s="1"/>
  <c r="BM45" i="19" a="1"/>
  <c r="BM45" i="19" s="1"/>
  <c r="BV45" i="19" s="1"/>
  <c r="DC45" i="19" a="1"/>
  <c r="DC45" i="19" s="1"/>
  <c r="DD45" i="19" s="1"/>
  <c r="BU45" i="19" s="1"/>
  <c r="DE45" i="19" a="1"/>
  <c r="DE45" i="19" s="1"/>
  <c r="DF45" i="19" s="1"/>
  <c r="BW45" i="19" s="1"/>
  <c r="CY45" i="19" a="1"/>
  <c r="CY45" i="19" s="1"/>
  <c r="DA45" i="19" a="1"/>
  <c r="DA45" i="19" s="1"/>
  <c r="DB45" i="19" s="1"/>
  <c r="BP45" i="19"/>
  <c r="BM22" i="19" a="1"/>
  <c r="BM22" i="19" s="1"/>
  <c r="BV22" i="19" s="1"/>
  <c r="BK22" i="19" a="1"/>
  <c r="BK22" i="19" s="1"/>
  <c r="BK35" i="19" a="1"/>
  <c r="BK35" i="19" s="1"/>
  <c r="BT35" i="19" s="1"/>
  <c r="BM35" i="19" a="1"/>
  <c r="BM35" i="19" s="1"/>
  <c r="BV35" i="19" s="1"/>
  <c r="CY35" i="19" a="1"/>
  <c r="CY35" i="19" s="1"/>
  <c r="DA35" i="19" a="1"/>
  <c r="DA35" i="19" s="1"/>
  <c r="DB35" i="19" s="1"/>
  <c r="DE35" i="19" a="1"/>
  <c r="DE35" i="19" s="1"/>
  <c r="DF35" i="19" s="1"/>
  <c r="BW35" i="19" s="1"/>
  <c r="DC35" i="19" a="1"/>
  <c r="DC35" i="19" s="1"/>
  <c r="DD35" i="19" s="1"/>
  <c r="BU35" i="19" s="1"/>
  <c r="BP35" i="19"/>
  <c r="BK31" i="19" a="1"/>
  <c r="BK31" i="19" s="1"/>
  <c r="BT31" i="19" s="1"/>
  <c r="BM31" i="19" a="1"/>
  <c r="BM31" i="19" s="1"/>
  <c r="BV31" i="19" s="1"/>
  <c r="DE31" i="19" a="1"/>
  <c r="DE31" i="19" s="1"/>
  <c r="DF31" i="19" s="1"/>
  <c r="BW31" i="19" s="1"/>
  <c r="DC31" i="19" a="1"/>
  <c r="DC31" i="19" s="1"/>
  <c r="DD31" i="19" s="1"/>
  <c r="BU31" i="19" s="1"/>
  <c r="CY31" i="19" a="1"/>
  <c r="CY31" i="19" s="1"/>
  <c r="DA31" i="19" a="1"/>
  <c r="DA31" i="19" s="1"/>
  <c r="DB31" i="19" s="1"/>
  <c r="BP31" i="19"/>
  <c r="Z30" i="19"/>
  <c r="Z58" i="19"/>
  <c r="Z55" i="19"/>
  <c r="X24" i="19"/>
  <c r="X32" i="19"/>
  <c r="X52" i="19"/>
  <c r="BK43" i="19" a="1"/>
  <c r="BK43" i="19" s="1"/>
  <c r="BT43" i="19" s="1"/>
  <c r="BM43" i="19" a="1"/>
  <c r="BM43" i="19" s="1"/>
  <c r="BV43" i="19" s="1"/>
  <c r="CY43" i="19" a="1"/>
  <c r="CY43" i="19" s="1"/>
  <c r="DA43" i="19" a="1"/>
  <c r="DA43" i="19" s="1"/>
  <c r="DB43" i="19" s="1"/>
  <c r="DC43" i="19" a="1"/>
  <c r="DC43" i="19" s="1"/>
  <c r="DD43" i="19" s="1"/>
  <c r="BU43" i="19" s="1"/>
  <c r="DE43" i="19" a="1"/>
  <c r="DE43" i="19" s="1"/>
  <c r="DF43" i="19" s="1"/>
  <c r="BW43" i="19" s="1"/>
  <c r="BP43" i="19"/>
  <c r="CY34" i="19" a="1"/>
  <c r="CY34" i="19" s="1"/>
  <c r="BK34" i="19" a="1"/>
  <c r="BK34" i="19" s="1"/>
  <c r="BT34" i="19" s="1"/>
  <c r="BM34" i="19" a="1"/>
  <c r="BM34" i="19" s="1"/>
  <c r="BV34" i="19" s="1"/>
  <c r="DE34" i="19" a="1"/>
  <c r="DE34" i="19" s="1"/>
  <c r="DF34" i="19" s="1"/>
  <c r="BW34" i="19" s="1"/>
  <c r="DA34" i="19" a="1"/>
  <c r="DA34" i="19" s="1"/>
  <c r="DB34" i="19" s="1"/>
  <c r="DC34" i="19" a="1"/>
  <c r="DC34" i="19" s="1"/>
  <c r="DD34" i="19" s="1"/>
  <c r="BU34" i="19" s="1"/>
  <c r="BP34" i="19"/>
  <c r="Z47" i="19"/>
  <c r="X58" i="19"/>
  <c r="Z36" i="19"/>
  <c r="X28" i="19"/>
  <c r="Z23" i="19"/>
  <c r="X61" i="19"/>
  <c r="Z51" i="19"/>
  <c r="X53" i="19"/>
  <c r="X38" i="19"/>
  <c r="CY26" i="19" a="1"/>
  <c r="CY26" i="19" s="1"/>
  <c r="DA26" i="19" a="1"/>
  <c r="DA26" i="19" s="1"/>
  <c r="DB26" i="19" s="1"/>
  <c r="BM26" i="19" a="1"/>
  <c r="BM26" i="19" s="1"/>
  <c r="BV26" i="19" s="1"/>
  <c r="BK26" i="19" a="1"/>
  <c r="BK26" i="19" s="1"/>
  <c r="BT26" i="19" s="1"/>
  <c r="DC26" i="19" a="1"/>
  <c r="DC26" i="19" s="1"/>
  <c r="DD26" i="19" s="1"/>
  <c r="BU26" i="19" s="1"/>
  <c r="DE26" i="19" a="1"/>
  <c r="DE26" i="19" s="1"/>
  <c r="DF26" i="19" s="1"/>
  <c r="BW26" i="19" s="1"/>
  <c r="X42" i="19"/>
  <c r="X60" i="19"/>
  <c r="X36" i="19"/>
  <c r="Z37" i="19"/>
  <c r="X33" i="19"/>
  <c r="Z32" i="19"/>
  <c r="Z38" i="19"/>
  <c r="V49" i="19"/>
  <c r="BS49" i="19"/>
  <c r="BK25" i="19" a="1"/>
  <c r="BK25" i="19" s="1"/>
  <c r="BT25" i="19" s="1"/>
  <c r="BM25" i="19" a="1"/>
  <c r="BM25" i="19" s="1"/>
  <c r="BV25" i="19" s="1"/>
  <c r="DE25" i="19" a="1"/>
  <c r="DE25" i="19" s="1"/>
  <c r="DF25" i="19" s="1"/>
  <c r="BW25" i="19" s="1"/>
  <c r="CY25" i="19" a="1"/>
  <c r="CY25" i="19" s="1"/>
  <c r="DA25" i="19" a="1"/>
  <c r="DA25" i="19" s="1"/>
  <c r="DB25" i="19" s="1"/>
  <c r="DC25" i="19" a="1"/>
  <c r="DC25" i="19" s="1"/>
  <c r="DD25" i="19" s="1"/>
  <c r="BU25" i="19" s="1"/>
  <c r="BM46" i="19" a="1"/>
  <c r="BM46" i="19" s="1"/>
  <c r="BV46" i="19" s="1"/>
  <c r="BK46" i="19" a="1"/>
  <c r="BK46" i="19" s="1"/>
  <c r="BT46" i="19" s="1"/>
  <c r="CY46" i="19" a="1"/>
  <c r="CY46" i="19" s="1"/>
  <c r="DA46" i="19" a="1"/>
  <c r="DA46" i="19" s="1"/>
  <c r="DB46" i="19" s="1"/>
  <c r="DC46" i="19" a="1"/>
  <c r="DC46" i="19" s="1"/>
  <c r="DD46" i="19" s="1"/>
  <c r="BU46" i="19" s="1"/>
  <c r="DE46" i="19" a="1"/>
  <c r="DE46" i="19" s="1"/>
  <c r="DF46" i="19" s="1"/>
  <c r="BW46" i="19" s="1"/>
  <c r="BP46" i="19"/>
  <c r="V28" i="19"/>
  <c r="BS28" i="19"/>
  <c r="V61" i="19"/>
  <c r="BS61" i="19"/>
  <c r="DC48" i="19" a="1"/>
  <c r="DC48" i="19" s="1"/>
  <c r="DD48" i="19" s="1"/>
  <c r="BU48" i="19" s="1"/>
  <c r="BK48" i="19" a="1"/>
  <c r="BK48" i="19" s="1"/>
  <c r="BT48" i="19" s="1"/>
  <c r="DE48" i="19" a="1"/>
  <c r="DE48" i="19" s="1"/>
  <c r="DF48" i="19" s="1"/>
  <c r="BW48" i="19" s="1"/>
  <c r="BM48" i="19" a="1"/>
  <c r="BM48" i="19" s="1"/>
  <c r="BV48" i="19" s="1"/>
  <c r="CY48" i="19" a="1"/>
  <c r="CY48" i="19" s="1"/>
  <c r="DA48" i="19" a="1"/>
  <c r="DA48" i="19" s="1"/>
  <c r="DB48" i="19" s="1"/>
  <c r="BP48" i="19"/>
  <c r="V36" i="19"/>
  <c r="BS36" i="19"/>
  <c r="V23" i="19"/>
  <c r="BS23" i="19"/>
  <c r="V24" i="19"/>
  <c r="BS24" i="19"/>
  <c r="Z52" i="19"/>
  <c r="BW52" i="19"/>
  <c r="V50" i="19"/>
  <c r="BS50" i="19"/>
  <c r="BK40" i="19" a="1"/>
  <c r="BK40" i="19" s="1"/>
  <c r="BT40" i="19" s="1"/>
  <c r="BM40" i="19" a="1"/>
  <c r="BM40" i="19" s="1"/>
  <c r="BV40" i="19" s="1"/>
  <c r="CY40" i="19" a="1"/>
  <c r="CY40" i="19" s="1"/>
  <c r="DA40" i="19" a="1"/>
  <c r="DA40" i="19" s="1"/>
  <c r="DB40" i="19" s="1"/>
  <c r="DC40" i="19" a="1"/>
  <c r="DC40" i="19" s="1"/>
  <c r="DD40" i="19" s="1"/>
  <c r="BU40" i="19" s="1"/>
  <c r="DE40" i="19" a="1"/>
  <c r="DE40" i="19" s="1"/>
  <c r="DF40" i="19" s="1"/>
  <c r="BW40" i="19" s="1"/>
  <c r="BP40" i="19"/>
  <c r="DA44" i="19" a="1"/>
  <c r="DA44" i="19" s="1"/>
  <c r="DB44" i="19" s="1"/>
  <c r="DC44" i="19" a="1"/>
  <c r="DC44" i="19" s="1"/>
  <c r="DD44" i="19" s="1"/>
  <c r="BU44" i="19" s="1"/>
  <c r="BK44" i="19" a="1"/>
  <c r="BK44" i="19" s="1"/>
  <c r="BT44" i="19" s="1"/>
  <c r="BM44" i="19" a="1"/>
  <c r="BM44" i="19" s="1"/>
  <c r="BV44" i="19" s="1"/>
  <c r="CY44" i="19" a="1"/>
  <c r="CY44" i="19" s="1"/>
  <c r="DE44" i="19" a="1"/>
  <c r="DE44" i="19" s="1"/>
  <c r="DF44" i="19" s="1"/>
  <c r="BW44" i="19" s="1"/>
  <c r="BP44" i="19"/>
  <c r="V59" i="19"/>
  <c r="BS59" i="19"/>
  <c r="V58" i="19"/>
  <c r="BS58" i="19"/>
  <c r="V55" i="19"/>
  <c r="BS55" i="19"/>
  <c r="V33" i="19"/>
  <c r="BS33" i="19"/>
  <c r="V47" i="19"/>
  <c r="BS47" i="19"/>
  <c r="V52" i="19"/>
  <c r="BS52" i="19"/>
  <c r="V62" i="19"/>
  <c r="BS62" i="19"/>
  <c r="DE54" i="19" a="1"/>
  <c r="DE54" i="19" s="1"/>
  <c r="DF54" i="19" s="1"/>
  <c r="BW54" i="19" s="1"/>
  <c r="BK54" i="19" a="1"/>
  <c r="BK54" i="19" s="1"/>
  <c r="BT54" i="19" s="1"/>
  <c r="BM54" i="19" a="1"/>
  <c r="BM54" i="19" s="1"/>
  <c r="BV54" i="19" s="1"/>
  <c r="DC54" i="19" a="1"/>
  <c r="DC54" i="19" s="1"/>
  <c r="DD54" i="19" s="1"/>
  <c r="BU54" i="19" s="1"/>
  <c r="CY54" i="19" a="1"/>
  <c r="CY54" i="19" s="1"/>
  <c r="DA54" i="19" a="1"/>
  <c r="DA54" i="19" s="1"/>
  <c r="DB54" i="19" s="1"/>
  <c r="BP54" i="19"/>
  <c r="Z42" i="19"/>
  <c r="BW42" i="19"/>
  <c r="V30" i="19"/>
  <c r="BS30" i="19"/>
  <c r="V60" i="19"/>
  <c r="BS60" i="19"/>
  <c r="Z24" i="19"/>
  <c r="V53" i="19"/>
  <c r="BS53" i="19"/>
  <c r="V38" i="19"/>
  <c r="BS38" i="19"/>
  <c r="CY22" i="19" a="1"/>
  <c r="CY22" i="19" s="1"/>
  <c r="DC22" i="19" a="1"/>
  <c r="DC22" i="19" s="1"/>
  <c r="DD22" i="19" s="1"/>
  <c r="BU22" i="19" s="1"/>
  <c r="DE22" i="19" a="1"/>
  <c r="DE22" i="19" s="1"/>
  <c r="DF22" i="19" s="1"/>
  <c r="BW22" i="19" s="1"/>
  <c r="DA22" i="19" a="1"/>
  <c r="DA22" i="19" s="1"/>
  <c r="DB22" i="19" s="1"/>
  <c r="BS22" i="19" s="1"/>
  <c r="F125" i="18"/>
  <c r="C73" i="18" s="1"/>
  <c r="O39" i="32"/>
  <c r="O47" i="32"/>
  <c r="O46" i="32"/>
  <c r="O41" i="32"/>
  <c r="O37" i="32"/>
  <c r="O31" i="32"/>
  <c r="O29" i="32"/>
  <c r="O26" i="32"/>
  <c r="O19" i="32"/>
  <c r="O20" i="32"/>
  <c r="O17" i="32"/>
  <c r="O23" i="32"/>
  <c r="O22" i="32"/>
  <c r="CK23" i="19" a="1"/>
  <c r="CK23" i="19" s="1"/>
  <c r="CM23" i="19" a="1"/>
  <c r="CM23" i="19" s="1"/>
  <c r="CL23" i="19" a="1"/>
  <c r="CL23" i="19" s="1"/>
  <c r="CO23" i="19" a="1"/>
  <c r="CO23" i="19" s="1"/>
  <c r="CN23" i="19" a="1"/>
  <c r="CN23" i="19" s="1"/>
  <c r="CN34" i="19" a="1"/>
  <c r="CN34" i="19" s="1"/>
  <c r="CO34" i="19" a="1"/>
  <c r="CO34" i="19" s="1"/>
  <c r="CM34" i="19" a="1"/>
  <c r="CM34" i="19" s="1"/>
  <c r="CL34" i="19" a="1"/>
  <c r="CL34" i="19" s="1"/>
  <c r="CK34" i="19" a="1"/>
  <c r="CK34" i="19" s="1"/>
  <c r="CU48" i="19" a="1"/>
  <c r="CU48" i="19" s="1"/>
  <c r="CQ48" i="19" a="1"/>
  <c r="CQ48" i="19" s="1"/>
  <c r="CT48" i="19" a="1"/>
  <c r="CT48" i="19" s="1"/>
  <c r="CS48" i="19" a="1"/>
  <c r="CS48" i="19" s="1"/>
  <c r="CR48" i="19" a="1"/>
  <c r="CR48" i="19" s="1"/>
  <c r="CN44" i="19" a="1"/>
  <c r="CN44" i="19" s="1"/>
  <c r="CO44" i="19" a="1"/>
  <c r="CO44" i="19" s="1"/>
  <c r="CM44" i="19" a="1"/>
  <c r="CM44" i="19" s="1"/>
  <c r="CK44" i="19" a="1"/>
  <c r="CK44" i="19" s="1"/>
  <c r="CL44" i="19" a="1"/>
  <c r="CL44" i="19" s="1"/>
  <c r="CO28" i="19" a="1"/>
  <c r="CO28" i="19" s="1"/>
  <c r="CK28" i="19" a="1"/>
  <c r="CK28" i="19" s="1"/>
  <c r="CM28" i="19" a="1"/>
  <c r="CM28" i="19" s="1"/>
  <c r="CL28" i="19" a="1"/>
  <c r="CL28" i="19" s="1"/>
  <c r="CN28" i="19" a="1"/>
  <c r="CN28" i="19" s="1"/>
  <c r="CO38" i="19" a="1"/>
  <c r="CO38" i="19" s="1"/>
  <c r="CK38" i="19" a="1"/>
  <c r="CK38" i="19" s="1"/>
  <c r="CN38" i="19" a="1"/>
  <c r="CN38" i="19" s="1"/>
  <c r="CL38" i="19" a="1"/>
  <c r="CL38" i="19" s="1"/>
  <c r="CM38" i="19" a="1"/>
  <c r="CM38" i="19" s="1"/>
  <c r="CU28" i="19" a="1"/>
  <c r="CU28" i="19" s="1"/>
  <c r="CQ28" i="19" a="1"/>
  <c r="CQ28" i="19" s="1"/>
  <c r="CR28" i="19" a="1"/>
  <c r="CR28" i="19" s="1"/>
  <c r="CS28" i="19" a="1"/>
  <c r="CS28" i="19" s="1"/>
  <c r="CT28" i="19" a="1"/>
  <c r="CT28" i="19" s="1"/>
  <c r="CL35" i="19" a="1"/>
  <c r="CL35" i="19" s="1"/>
  <c r="CM35" i="19" a="1"/>
  <c r="CM35" i="19" s="1"/>
  <c r="CK35" i="19" a="1"/>
  <c r="CK35" i="19" s="1"/>
  <c r="CN35" i="19" a="1"/>
  <c r="CN35" i="19" s="1"/>
  <c r="CO35" i="19" a="1"/>
  <c r="CO35" i="19" s="1"/>
  <c r="CL40" i="19" a="1"/>
  <c r="CL40" i="19" s="1"/>
  <c r="CK40" i="19" a="1"/>
  <c r="CK40" i="19" s="1"/>
  <c r="CM40" i="19" a="1"/>
  <c r="CM40" i="19" s="1"/>
  <c r="CN40" i="19" a="1"/>
  <c r="CN40" i="19" s="1"/>
  <c r="CO40" i="19" a="1"/>
  <c r="CO40" i="19" s="1"/>
  <c r="CL31" i="19" a="1"/>
  <c r="CL31" i="19" s="1"/>
  <c r="CM31" i="19" a="1"/>
  <c r="CM31" i="19" s="1"/>
  <c r="CN31" i="19" a="1"/>
  <c r="CN31" i="19" s="1"/>
  <c r="CO31" i="19" a="1"/>
  <c r="CO31" i="19" s="1"/>
  <c r="CK31" i="19" a="1"/>
  <c r="CK31" i="19" s="1"/>
  <c r="CU23" i="19" a="1"/>
  <c r="CU23" i="19" s="1"/>
  <c r="CQ23" i="19" a="1"/>
  <c r="CQ23" i="19" s="1"/>
  <c r="CR23" i="19" a="1"/>
  <c r="CR23" i="19" s="1"/>
  <c r="CS23" i="19" a="1"/>
  <c r="CS23" i="19" s="1"/>
  <c r="CT23" i="19" a="1"/>
  <c r="CT23" i="19" s="1"/>
  <c r="CU43" i="19" a="1"/>
  <c r="CU43" i="19" s="1"/>
  <c r="CQ43" i="19" a="1"/>
  <c r="CQ43" i="19" s="1"/>
  <c r="CT43" i="19" a="1"/>
  <c r="CT43" i="19" s="1"/>
  <c r="CR43" i="19" a="1"/>
  <c r="CR43" i="19" s="1"/>
  <c r="CS43" i="19" a="1"/>
  <c r="CS43" i="19" s="1"/>
  <c r="CR44" i="19" a="1"/>
  <c r="CR44" i="19" s="1"/>
  <c r="CQ44" i="19" a="1"/>
  <c r="CQ44" i="19" s="1"/>
  <c r="CS44" i="19" a="1"/>
  <c r="CS44" i="19" s="1"/>
  <c r="CT44" i="19" a="1"/>
  <c r="CT44" i="19" s="1"/>
  <c r="CU44" i="19" a="1"/>
  <c r="CU44" i="19" s="1"/>
  <c r="CQ54" i="19" a="1"/>
  <c r="CQ54" i="19" s="1"/>
  <c r="CR54" i="19" a="1"/>
  <c r="CR54" i="19" s="1"/>
  <c r="CT54" i="19" a="1"/>
  <c r="CT54" i="19" s="1"/>
  <c r="CS54" i="19" a="1"/>
  <c r="CS54" i="19" s="1"/>
  <c r="CU54" i="19" a="1"/>
  <c r="CU54" i="19" s="1"/>
  <c r="CU38" i="19" a="1"/>
  <c r="CU38" i="19" s="1"/>
  <c r="CQ38" i="19" a="1"/>
  <c r="CQ38" i="19" s="1"/>
  <c r="CS38" i="19" a="1"/>
  <c r="CS38" i="19" s="1"/>
  <c r="CT38" i="19" a="1"/>
  <c r="CT38" i="19" s="1"/>
  <c r="CR38" i="19" a="1"/>
  <c r="CR38" i="19" s="1"/>
  <c r="CK42" i="19" a="1"/>
  <c r="CK42" i="19" s="1"/>
  <c r="CO42" i="19" a="1"/>
  <c r="CO42" i="19" s="1"/>
  <c r="CM42" i="19" a="1"/>
  <c r="CM42" i="19" s="1"/>
  <c r="CN42" i="19" a="1"/>
  <c r="CN42" i="19" s="1"/>
  <c r="CL42" i="19" a="1"/>
  <c r="CL42" i="19" s="1"/>
  <c r="CQ42" i="19" a="1"/>
  <c r="CQ42" i="19" s="1"/>
  <c r="CR42" i="19" a="1"/>
  <c r="CR42" i="19" s="1"/>
  <c r="CS42" i="19" a="1"/>
  <c r="CS42" i="19" s="1"/>
  <c r="CT42" i="19" a="1"/>
  <c r="CT42" i="19" s="1"/>
  <c r="CU42" i="19" a="1"/>
  <c r="CU42" i="19" s="1"/>
  <c r="CK62" i="19" a="1"/>
  <c r="CK62" i="19" s="1"/>
  <c r="CO62" i="19" a="1"/>
  <c r="CO62" i="19" s="1"/>
  <c r="CL62" i="19" a="1"/>
  <c r="CL62" i="19" s="1"/>
  <c r="CM62" i="19" a="1"/>
  <c r="CM62" i="19" s="1"/>
  <c r="CN62" i="19" a="1"/>
  <c r="CN62" i="19" s="1"/>
  <c r="CS45" i="19" a="1"/>
  <c r="CS45" i="19" s="1"/>
  <c r="CT45" i="19" a="1"/>
  <c r="CT45" i="19" s="1"/>
  <c r="CU45" i="19" a="1"/>
  <c r="CU45" i="19" s="1"/>
  <c r="CR45" i="19" a="1"/>
  <c r="CR45" i="19" s="1"/>
  <c r="CQ45" i="19" a="1"/>
  <c r="CQ45" i="19" s="1"/>
  <c r="CL46" i="19" a="1"/>
  <c r="CL46" i="19" s="1"/>
  <c r="CM46" i="19" a="1"/>
  <c r="CM46" i="19" s="1"/>
  <c r="CN46" i="19" a="1"/>
  <c r="CN46" i="19" s="1"/>
  <c r="CO46" i="19" a="1"/>
  <c r="CO46" i="19" s="1"/>
  <c r="CK46" i="19" a="1"/>
  <c r="CK46" i="19" s="1"/>
  <c r="CQ62" i="19" a="1"/>
  <c r="CQ62" i="19" s="1"/>
  <c r="CR62" i="19" a="1"/>
  <c r="CR62" i="19" s="1"/>
  <c r="CS62" i="19" a="1"/>
  <c r="CS62" i="19" s="1"/>
  <c r="CT62" i="19" a="1"/>
  <c r="CT62" i="19" s="1"/>
  <c r="CU62" i="19" a="1"/>
  <c r="CU62" i="19" s="1"/>
  <c r="CL45" i="19" a="1"/>
  <c r="CL45" i="19" s="1"/>
  <c r="CM45" i="19" a="1"/>
  <c r="CM45" i="19" s="1"/>
  <c r="CK45" i="19" a="1"/>
  <c r="CK45" i="19" s="1"/>
  <c r="CN45" i="19" a="1"/>
  <c r="CN45" i="19" s="1"/>
  <c r="CO45" i="19" a="1"/>
  <c r="CO45" i="19" s="1"/>
  <c r="CN58" i="19" a="1"/>
  <c r="CN58" i="19" s="1"/>
  <c r="CK58" i="19" a="1"/>
  <c r="CK58" i="19" s="1"/>
  <c r="CM58" i="19" a="1"/>
  <c r="CM58" i="19" s="1"/>
  <c r="CL58" i="19" a="1"/>
  <c r="CL58" i="19" s="1"/>
  <c r="CO58" i="19" a="1"/>
  <c r="CO58" i="19" s="1"/>
  <c r="CQ46" i="19" a="1"/>
  <c r="CQ46" i="19" s="1"/>
  <c r="CR46" i="19" a="1"/>
  <c r="CR46" i="19" s="1"/>
  <c r="CS46" i="19" a="1"/>
  <c r="CS46" i="19" s="1"/>
  <c r="CU46" i="19" a="1"/>
  <c r="CU46" i="19" s="1"/>
  <c r="CT46" i="19" a="1"/>
  <c r="CT46" i="19" s="1"/>
  <c r="CS40" i="19" a="1"/>
  <c r="CS40" i="19" s="1"/>
  <c r="CT40" i="19" a="1"/>
  <c r="CT40" i="19" s="1"/>
  <c r="CU40" i="19" a="1"/>
  <c r="CU40" i="19" s="1"/>
  <c r="CR40" i="19" a="1"/>
  <c r="CR40" i="19" s="1"/>
  <c r="CQ40" i="19" a="1"/>
  <c r="CQ40" i="19" s="1"/>
  <c r="CS25" i="19" a="1"/>
  <c r="CS25" i="19" s="1"/>
  <c r="CT25" i="19" a="1"/>
  <c r="CT25" i="19" s="1"/>
  <c r="CU25" i="19" a="1"/>
  <c r="CU25" i="19" s="1"/>
  <c r="CQ25" i="19" a="1"/>
  <c r="CQ25" i="19" s="1"/>
  <c r="CR25" i="19" a="1"/>
  <c r="CR25" i="19" s="1"/>
  <c r="CE28" i="19" a="1"/>
  <c r="CE28" i="19" s="1"/>
  <c r="CF28" i="19" a="1"/>
  <c r="CF28" i="19" s="1"/>
  <c r="CG28" i="19" a="1"/>
  <c r="CG28" i="19" s="1"/>
  <c r="CH28" i="19" a="1"/>
  <c r="CH28" i="19" s="1"/>
  <c r="CI28" i="19" a="1"/>
  <c r="CI28" i="19" s="1"/>
  <c r="CG30" i="19" a="1"/>
  <c r="CG30" i="19" s="1"/>
  <c r="CH30" i="19" a="1"/>
  <c r="CH30" i="19" s="1"/>
  <c r="CI30" i="19" a="1"/>
  <c r="CI30" i="19" s="1"/>
  <c r="CE30" i="19" a="1"/>
  <c r="CE30" i="19" s="1"/>
  <c r="CF30" i="19" a="1"/>
  <c r="CF30" i="19" s="1"/>
  <c r="CG27" i="19" a="1"/>
  <c r="CG27" i="19" s="1"/>
  <c r="CE29" i="19" a="1"/>
  <c r="CE29" i="19" s="1"/>
  <c r="CF29" i="19" a="1"/>
  <c r="CF29" i="19" s="1"/>
  <c r="CG29" i="19" a="1"/>
  <c r="CG29" i="19" s="1"/>
  <c r="CH29" i="19" a="1"/>
  <c r="CH29" i="19" s="1"/>
  <c r="CI29" i="19" a="1"/>
  <c r="CI29" i="19" s="1"/>
  <c r="CE32" i="19" a="1"/>
  <c r="CE32" i="19" s="1"/>
  <c r="CF32" i="19" a="1"/>
  <c r="CF32" i="19" s="1"/>
  <c r="CG32" i="19" a="1"/>
  <c r="CG32" i="19" s="1"/>
  <c r="CH32" i="19" a="1"/>
  <c r="CH32" i="19" s="1"/>
  <c r="CI32" i="19" a="1"/>
  <c r="CI32" i="19" s="1"/>
  <c r="CG37" i="19" a="1"/>
  <c r="CG37" i="19" s="1"/>
  <c r="CH37" i="19" a="1"/>
  <c r="CH37" i="19" s="1"/>
  <c r="CI37" i="19" a="1"/>
  <c r="CI37" i="19" s="1"/>
  <c r="CE37" i="19" a="1"/>
  <c r="CE37" i="19" s="1"/>
  <c r="CF37" i="19" a="1"/>
  <c r="CF37" i="19" s="1"/>
  <c r="CF33" i="19" a="1"/>
  <c r="CF33" i="19" s="1"/>
  <c r="CG33" i="19" a="1"/>
  <c r="CG33" i="19" s="1"/>
  <c r="CH33" i="19" a="1"/>
  <c r="CH33" i="19" s="1"/>
  <c r="CI33" i="19" a="1"/>
  <c r="CI33" i="19" s="1"/>
  <c r="CE33" i="19" a="1"/>
  <c r="CE33" i="19" s="1"/>
  <c r="N37" i="32"/>
  <c r="N29" i="32"/>
  <c r="N40" i="32"/>
  <c r="N50" i="32"/>
  <c r="N20" i="32"/>
  <c r="N26" i="32"/>
  <c r="N35" i="32"/>
  <c r="N19" i="32"/>
  <c r="N48" i="32"/>
  <c r="N38" i="32"/>
  <c r="N42" i="32"/>
  <c r="N31" i="32"/>
  <c r="N47" i="32"/>
  <c r="N46" i="32"/>
  <c r="N34" i="32"/>
  <c r="N45" i="32"/>
  <c r="O21" i="33"/>
  <c r="N22" i="33" s="1"/>
  <c r="P21" i="33"/>
  <c r="M21" i="33" s="1" a="1"/>
  <c r="M21" i="33" s="1"/>
  <c r="K21" i="33"/>
  <c r="H21" i="33" s="1" a="1"/>
  <c r="H21" i="33" s="1"/>
  <c r="J21" i="33"/>
  <c r="I22" i="33" s="1"/>
  <c r="T20" i="33"/>
  <c r="R20" i="33"/>
  <c r="U20" i="33"/>
  <c r="B20" i="33"/>
  <c r="S20" i="33"/>
  <c r="AA122" i="30" a="1"/>
  <c r="AA122" i="30" s="1"/>
  <c r="AA77" i="30" a="1"/>
  <c r="AA77" i="30" s="1"/>
  <c r="AA92" i="30" a="1"/>
  <c r="AA92" i="30" s="1"/>
  <c r="AA23" i="30" a="1"/>
  <c r="AA23" i="30" s="1"/>
  <c r="I44" i="19"/>
  <c r="BY44" i="19" s="1"/>
  <c r="CP32" i="19"/>
  <c r="CP51" i="19"/>
  <c r="CV36" i="19"/>
  <c r="CV58" i="19"/>
  <c r="CV22" i="19"/>
  <c r="CV52" i="19"/>
  <c r="CV32" i="19"/>
  <c r="CP54" i="19"/>
  <c r="CV50" i="19"/>
  <c r="CP48" i="19"/>
  <c r="CP53" i="19"/>
  <c r="CV61" i="19"/>
  <c r="CP33" i="19"/>
  <c r="CV53" i="19"/>
  <c r="CV27" i="19"/>
  <c r="CV34" i="19"/>
  <c r="O12" i="32"/>
  <c r="AU49" i="19"/>
  <c r="AU52" i="19"/>
  <c r="CV26" i="19"/>
  <c r="CP37" i="19"/>
  <c r="CP43" i="19"/>
  <c r="CV24" i="19"/>
  <c r="CV60" i="19"/>
  <c r="CP50" i="19"/>
  <c r="CV33" i="19"/>
  <c r="CV35" i="19"/>
  <c r="AU38" i="19"/>
  <c r="CV30" i="19"/>
  <c r="CP52" i="19"/>
  <c r="CV47" i="19"/>
  <c r="CV37" i="19"/>
  <c r="CP56" i="19"/>
  <c r="CP61" i="19"/>
  <c r="O15" i="32"/>
  <c r="AU62" i="19"/>
  <c r="AU24" i="19"/>
  <c r="AU50" i="19"/>
  <c r="AU57" i="19"/>
  <c r="AU51" i="19"/>
  <c r="AU23" i="19"/>
  <c r="AU53" i="19"/>
  <c r="CP24" i="19"/>
  <c r="CP49" i="19"/>
  <c r="AU60" i="19"/>
  <c r="AU42" i="19"/>
  <c r="AU56" i="19"/>
  <c r="CV55" i="19"/>
  <c r="CP55" i="19"/>
  <c r="CV31" i="19"/>
  <c r="AU61" i="19"/>
  <c r="L44" i="19"/>
  <c r="AA44" i="19" s="1"/>
  <c r="CV39" i="19"/>
  <c r="CP60" i="19"/>
  <c r="CV29" i="19"/>
  <c r="AU41" i="19"/>
  <c r="O21" i="32"/>
  <c r="AU55" i="19"/>
  <c r="AA75" i="30" a="1"/>
  <c r="AA75" i="30" s="1"/>
  <c r="O25" i="32"/>
  <c r="O30" i="32"/>
  <c r="O33" i="32"/>
  <c r="O48" i="32"/>
  <c r="O36" i="32"/>
  <c r="O44" i="32"/>
  <c r="O24" i="32"/>
  <c r="O38" i="32"/>
  <c r="O35" i="32"/>
  <c r="O34" i="32"/>
  <c r="O16" i="32"/>
  <c r="O49" i="32"/>
  <c r="BO50" i="19"/>
  <c r="BO32" i="19"/>
  <c r="BO52" i="19"/>
  <c r="BO47" i="19"/>
  <c r="BO62" i="19"/>
  <c r="L46" i="19"/>
  <c r="AA46" i="19" s="1"/>
  <c r="L34" i="19"/>
  <c r="AA34" i="19" s="1"/>
  <c r="BO53" i="19"/>
  <c r="L54" i="19"/>
  <c r="AA54" i="19" s="1"/>
  <c r="BO33" i="19"/>
  <c r="BO42" i="19"/>
  <c r="BO23" i="19"/>
  <c r="BO30" i="19"/>
  <c r="L43" i="19"/>
  <c r="AA43" i="19" s="1"/>
  <c r="BO36" i="19"/>
  <c r="BO61" i="19"/>
  <c r="BO55" i="19"/>
  <c r="BO60" i="19"/>
  <c r="L25" i="19"/>
  <c r="BO37" i="19"/>
  <c r="BO38" i="19"/>
  <c r="BO24" i="19"/>
  <c r="BO49" i="19"/>
  <c r="I48" i="19"/>
  <c r="BY48" i="19" s="1"/>
  <c r="BO28" i="19"/>
  <c r="I34" i="19"/>
  <c r="BY34" i="19" s="1"/>
  <c r="I40" i="19"/>
  <c r="BY40" i="19" s="1"/>
  <c r="L40" i="19"/>
  <c r="AA40" i="19" s="1"/>
  <c r="I46" i="19"/>
  <c r="BY46" i="19" s="1"/>
  <c r="I58" i="19"/>
  <c r="BY58" i="19" s="1"/>
  <c r="L35" i="19"/>
  <c r="AA35" i="19" s="1"/>
  <c r="L58" i="19"/>
  <c r="AA58" i="19" s="1"/>
  <c r="I43" i="19"/>
  <c r="BY43" i="19" s="1"/>
  <c r="I45" i="19"/>
  <c r="BY45" i="19" s="1"/>
  <c r="I35" i="19"/>
  <c r="BY35" i="19" s="1"/>
  <c r="L45" i="19"/>
  <c r="AA45" i="19" s="1"/>
  <c r="L31" i="19"/>
  <c r="AA31" i="19" s="1"/>
  <c r="I25" i="19"/>
  <c r="BY25" i="19" s="1"/>
  <c r="I54" i="19"/>
  <c r="BY54" i="19" s="1"/>
  <c r="L48" i="19"/>
  <c r="AA48" i="19" s="1"/>
  <c r="L26" i="19"/>
  <c r="I26" i="19"/>
  <c r="BY26" i="19" s="1"/>
  <c r="L59" i="19"/>
  <c r="AA59" i="19" s="1"/>
  <c r="I31" i="19"/>
  <c r="BY31" i="19" s="1"/>
  <c r="AA83" i="30" a="1"/>
  <c r="AA83" i="30" s="1"/>
  <c r="AA76" i="30" a="1"/>
  <c r="AA76" i="30" s="1"/>
  <c r="I59" i="19"/>
  <c r="BY59" i="19" s="1"/>
  <c r="R46" i="19"/>
  <c r="I22" i="19"/>
  <c r="BY22" i="19" s="1"/>
  <c r="R28" i="19"/>
  <c r="L22" i="19"/>
  <c r="R31" i="19"/>
  <c r="R30" i="19"/>
  <c r="R39" i="19"/>
  <c r="R50" i="19"/>
  <c r="R47" i="19"/>
  <c r="R27" i="19"/>
  <c r="R34" i="19"/>
  <c r="R29" i="19"/>
  <c r="R56" i="19"/>
  <c r="R53" i="19"/>
  <c r="R40" i="19"/>
  <c r="R54" i="19"/>
  <c r="R26" i="19"/>
  <c r="R25" i="19"/>
  <c r="R45" i="19"/>
  <c r="R23" i="19"/>
  <c r="R48" i="19"/>
  <c r="R52" i="19"/>
  <c r="R41" i="19"/>
  <c r="R42" i="19"/>
  <c r="R55" i="19"/>
  <c r="R58" i="19"/>
  <c r="R38" i="19"/>
  <c r="R22" i="19"/>
  <c r="R24" i="19"/>
  <c r="R37" i="19"/>
  <c r="R49" i="19"/>
  <c r="R43" i="19"/>
  <c r="R44" i="19"/>
  <c r="R59" i="19"/>
  <c r="R36" i="19"/>
  <c r="R57" i="19"/>
  <c r="R35" i="19"/>
  <c r="R51" i="19"/>
  <c r="R33" i="19"/>
  <c r="R32" i="19"/>
  <c r="AA15" i="30" a="1"/>
  <c r="AA15" i="30" s="1"/>
  <c r="AA18" i="30" a="1"/>
  <c r="AA18" i="30" s="1"/>
  <c r="AA125" i="30" a="1"/>
  <c r="AA125" i="30" s="1"/>
  <c r="L19" i="39" a="1"/>
  <c r="L19" i="39" s="1"/>
  <c r="M16" i="32"/>
  <c r="L15" i="39" a="1"/>
  <c r="L15" i="39" s="1"/>
  <c r="L18" i="39" a="1"/>
  <c r="L18" i="39" s="1"/>
  <c r="L17" i="39" a="1"/>
  <c r="L17" i="39" s="1"/>
  <c r="L16" i="39" a="1"/>
  <c r="L16" i="39" s="1"/>
  <c r="L20" i="39" a="1"/>
  <c r="L20" i="39" s="1"/>
  <c r="M18" i="32"/>
  <c r="M13" i="32"/>
  <c r="M17" i="32"/>
  <c r="M41" i="32"/>
  <c r="M32" i="32"/>
  <c r="M49" i="32"/>
  <c r="M24" i="32"/>
  <c r="M39" i="32"/>
  <c r="M51" i="32"/>
  <c r="M25" i="32"/>
  <c r="M43" i="32"/>
  <c r="M14" i="32"/>
  <c r="M44" i="32"/>
  <c r="M33" i="32"/>
  <c r="M36" i="32"/>
  <c r="M30" i="32"/>
  <c r="M21" i="32"/>
  <c r="M22" i="32"/>
  <c r="M27" i="32"/>
  <c r="M12" i="32"/>
  <c r="M23" i="32"/>
  <c r="M28" i="32"/>
  <c r="M15" i="32"/>
  <c r="AA123" i="30" a="1"/>
  <c r="AA123" i="30" s="1"/>
  <c r="AA96" i="30" a="1"/>
  <c r="AA96" i="30" s="1"/>
  <c r="AA105" i="30" a="1"/>
  <c r="AA105" i="30" s="1"/>
  <c r="AA72" i="30" a="1"/>
  <c r="AA72" i="30" s="1"/>
  <c r="AA111" i="30" a="1"/>
  <c r="AA111" i="30" s="1"/>
  <c r="AA108" i="30" a="1"/>
  <c r="AA108" i="30" s="1"/>
  <c r="AA93" i="30" a="1"/>
  <c r="AA93" i="30" s="1"/>
  <c r="AA102" i="30" a="1"/>
  <c r="AA102" i="30" s="1"/>
  <c r="A23" i="39" a="1"/>
  <c r="A23" i="39" s="1"/>
  <c r="F23" i="39" a="1"/>
  <c r="F23" i="39" s="1"/>
  <c r="CE27" i="19" l="1" a="1"/>
  <c r="CE27" i="19" s="1"/>
  <c r="CF39" i="19" a="1"/>
  <c r="CF39" i="19" s="1"/>
  <c r="CF27" i="19" a="1"/>
  <c r="CF27" i="19" s="1"/>
  <c r="CI39" i="19" a="1"/>
  <c r="CI39" i="19" s="1"/>
  <c r="CE39" i="19" a="1"/>
  <c r="CE39" i="19" s="1"/>
  <c r="CH39" i="19" a="1"/>
  <c r="CH39" i="19" s="1"/>
  <c r="CI27" i="19" a="1"/>
  <c r="CI27" i="19" s="1"/>
  <c r="BO27" i="19"/>
  <c r="V41" i="19"/>
  <c r="Z27" i="19"/>
  <c r="V27" i="19"/>
  <c r="X27" i="19"/>
  <c r="DG27" i="19"/>
  <c r="DH27" i="19"/>
  <c r="V29" i="19"/>
  <c r="V39" i="19"/>
  <c r="CP47" i="19"/>
  <c r="CM27" i="19" a="1"/>
  <c r="CM27" i="19" s="1"/>
  <c r="CN27" i="19" a="1"/>
  <c r="CN27" i="19" s="1"/>
  <c r="CO27" i="19" a="1"/>
  <c r="CO27" i="19" s="1"/>
  <c r="CL27" i="19" a="1"/>
  <c r="CL27" i="19" s="1"/>
  <c r="CP30" i="19"/>
  <c r="CP36" i="19"/>
  <c r="Z41" i="19"/>
  <c r="X29" i="19"/>
  <c r="X57" i="19"/>
  <c r="BO56" i="19"/>
  <c r="X41" i="19"/>
  <c r="CV49" i="19"/>
  <c r="DH31" i="19"/>
  <c r="DH40" i="19"/>
  <c r="DH44" i="19"/>
  <c r="DH43" i="19"/>
  <c r="DH51" i="19"/>
  <c r="DH41" i="19"/>
  <c r="CZ57" i="19"/>
  <c r="BQ57" i="19" s="1"/>
  <c r="DH57" i="19"/>
  <c r="DH54" i="19"/>
  <c r="DH45" i="19"/>
  <c r="CZ29" i="19"/>
  <c r="BQ29" i="19" s="1"/>
  <c r="DH29" i="19"/>
  <c r="DH46" i="19"/>
  <c r="DH35" i="19"/>
  <c r="CZ39" i="19"/>
  <c r="BQ39" i="19" s="1"/>
  <c r="DH39" i="19"/>
  <c r="CZ59" i="19"/>
  <c r="BQ59" i="19" s="1"/>
  <c r="DH59" i="19"/>
  <c r="DH22" i="19"/>
  <c r="DH34" i="19"/>
  <c r="Z29" i="19"/>
  <c r="DH48" i="19"/>
  <c r="DH25" i="19"/>
  <c r="DH26" i="19"/>
  <c r="CZ56" i="19"/>
  <c r="BQ56" i="19" s="1"/>
  <c r="DH56" i="19"/>
  <c r="CN25" i="19" a="1"/>
  <c r="CN25" i="19" s="1"/>
  <c r="CL25" i="19" a="1"/>
  <c r="CL25" i="19" s="1"/>
  <c r="BS57" i="19"/>
  <c r="DG29" i="19"/>
  <c r="DG41" i="19"/>
  <c r="Z59" i="19"/>
  <c r="Z39" i="19"/>
  <c r="Z57" i="19"/>
  <c r="CN59" i="19" a="1"/>
  <c r="CN59" i="19" s="1"/>
  <c r="CO25" i="19" a="1"/>
  <c r="CO25" i="19" s="1"/>
  <c r="CM25" i="19" a="1"/>
  <c r="CM25" i="19" s="1"/>
  <c r="V56" i="19"/>
  <c r="DG57" i="19"/>
  <c r="V51" i="19"/>
  <c r="CS59" i="19" a="1"/>
  <c r="CS59" i="19" s="1"/>
  <c r="CM59" i="19" a="1"/>
  <c r="CM59" i="19" s="1"/>
  <c r="X56" i="19"/>
  <c r="Z56" i="19"/>
  <c r="DG39" i="19"/>
  <c r="X39" i="19"/>
  <c r="X51" i="19"/>
  <c r="CV41" i="19"/>
  <c r="CO26" i="19" a="1"/>
  <c r="CO26" i="19" s="1"/>
  <c r="T41" i="19"/>
  <c r="CR59" i="19" a="1"/>
  <c r="CR59" i="19" s="1"/>
  <c r="CQ59" i="19" a="1"/>
  <c r="CQ59" i="19" s="1"/>
  <c r="T23" i="19"/>
  <c r="DG56" i="19"/>
  <c r="CU59" i="19" a="1"/>
  <c r="CU59" i="19" s="1"/>
  <c r="T42" i="19"/>
  <c r="CK59" i="19" a="1"/>
  <c r="CK59" i="19" s="1"/>
  <c r="CO59" i="19" a="1"/>
  <c r="CO59" i="19" s="1"/>
  <c r="X59" i="19"/>
  <c r="CK26" i="19" a="1"/>
  <c r="CK26" i="19" s="1"/>
  <c r="CN26" i="19" a="1"/>
  <c r="CN26" i="19" s="1"/>
  <c r="CM26" i="19" a="1"/>
  <c r="CM26" i="19" s="1"/>
  <c r="T50" i="19"/>
  <c r="T27" i="19"/>
  <c r="DG59" i="19"/>
  <c r="CK57" i="19" a="1"/>
  <c r="CK57" i="19" s="1"/>
  <c r="T24" i="19"/>
  <c r="T60" i="19"/>
  <c r="T38" i="19"/>
  <c r="T28" i="19"/>
  <c r="T49" i="19"/>
  <c r="T52" i="19"/>
  <c r="CK41" i="19" a="1"/>
  <c r="CK41" i="19" s="1"/>
  <c r="CN22" i="19" a="1"/>
  <c r="CN22" i="19" s="1"/>
  <c r="CM22" i="19" a="1"/>
  <c r="CM22" i="19" s="1"/>
  <c r="BO41" i="19"/>
  <c r="T61" i="19"/>
  <c r="DJ32" i="19"/>
  <c r="T32" i="19"/>
  <c r="T33" i="19"/>
  <c r="T30" i="19"/>
  <c r="CL41" i="19" a="1"/>
  <c r="CL41" i="19" s="1"/>
  <c r="T53" i="19"/>
  <c r="T58" i="19"/>
  <c r="T37" i="19"/>
  <c r="T55" i="19"/>
  <c r="T62" i="19"/>
  <c r="T36" i="19"/>
  <c r="DJ60" i="19"/>
  <c r="DJ55" i="19"/>
  <c r="CO41" i="19" a="1"/>
  <c r="CO41" i="19" s="1"/>
  <c r="T47" i="19"/>
  <c r="DJ61" i="19"/>
  <c r="DJ38" i="19"/>
  <c r="DJ23" i="19"/>
  <c r="CQ56" i="19" a="1"/>
  <c r="CQ56" i="19" s="1"/>
  <c r="CR56" i="19" a="1"/>
  <c r="CR56" i="19" s="1"/>
  <c r="CS56" i="19" a="1"/>
  <c r="CS56" i="19" s="1"/>
  <c r="CU56" i="19" a="1"/>
  <c r="CU56" i="19" s="1"/>
  <c r="CT56" i="19" a="1"/>
  <c r="CT56" i="19" s="1"/>
  <c r="CM41" i="19" a="1"/>
  <c r="CM41" i="19" s="1"/>
  <c r="DJ33" i="19"/>
  <c r="CZ40" i="19"/>
  <c r="BQ40" i="19" s="1"/>
  <c r="DG40" i="19"/>
  <c r="CZ48" i="19"/>
  <c r="BQ48" i="19" s="1"/>
  <c r="DG48" i="19"/>
  <c r="CZ54" i="19"/>
  <c r="BQ54" i="19" s="1"/>
  <c r="DG54" i="19"/>
  <c r="CZ44" i="19"/>
  <c r="BQ44" i="19" s="1"/>
  <c r="DG44" i="19"/>
  <c r="DJ58" i="19"/>
  <c r="DJ52" i="19"/>
  <c r="DJ36" i="19"/>
  <c r="DJ24" i="19"/>
  <c r="DJ50" i="19"/>
  <c r="CZ43" i="19"/>
  <c r="BQ43" i="19" s="1"/>
  <c r="DG43" i="19"/>
  <c r="DJ47" i="19"/>
  <c r="CZ25" i="19"/>
  <c r="BQ25" i="19" s="1"/>
  <c r="DG25" i="19"/>
  <c r="DJ49" i="19"/>
  <c r="CZ22" i="19"/>
  <c r="T22" i="19" s="1"/>
  <c r="DG22" i="19"/>
  <c r="CZ45" i="19"/>
  <c r="BQ45" i="19" s="1"/>
  <c r="DG45" i="19"/>
  <c r="CL57" i="19" a="1"/>
  <c r="CL57" i="19" s="1"/>
  <c r="DJ53" i="19"/>
  <c r="DJ28" i="19"/>
  <c r="DJ37" i="19"/>
  <c r="DJ30" i="19"/>
  <c r="CZ35" i="19"/>
  <c r="BQ35" i="19" s="1"/>
  <c r="DG35" i="19"/>
  <c r="CZ31" i="19"/>
  <c r="BQ31" i="19" s="1"/>
  <c r="DG31" i="19"/>
  <c r="CO57" i="19" a="1"/>
  <c r="CO57" i="19" s="1"/>
  <c r="CZ51" i="19"/>
  <c r="DG51" i="19"/>
  <c r="DJ42" i="19"/>
  <c r="DJ62" i="19"/>
  <c r="CZ46" i="19"/>
  <c r="BQ46" i="19" s="1"/>
  <c r="DG46" i="19"/>
  <c r="CZ26" i="19"/>
  <c r="BQ26" i="19" s="1"/>
  <c r="DG26" i="19"/>
  <c r="CZ34" i="19"/>
  <c r="BQ34" i="19" s="1"/>
  <c r="DG34" i="19"/>
  <c r="BO29" i="19"/>
  <c r="BO39" i="19"/>
  <c r="BO57" i="19"/>
  <c r="CL22" i="19" a="1"/>
  <c r="CL22" i="19" s="1"/>
  <c r="CN57" i="19" a="1"/>
  <c r="CN57" i="19" s="1"/>
  <c r="X45" i="19"/>
  <c r="CK22" i="19" a="1"/>
  <c r="CK22" i="19" s="1"/>
  <c r="CS51" i="19" a="1"/>
  <c r="CS51" i="19" s="1"/>
  <c r="CU51" i="19" a="1"/>
  <c r="CU51" i="19" s="1"/>
  <c r="CT51" i="19" a="1"/>
  <c r="CT51" i="19" s="1"/>
  <c r="CQ51" i="19" a="1"/>
  <c r="CQ51" i="19" s="1"/>
  <c r="CR51" i="19" a="1"/>
  <c r="CR51" i="19" s="1"/>
  <c r="CQ57" i="19" a="1"/>
  <c r="CQ57" i="19" s="1"/>
  <c r="CR57" i="19" a="1"/>
  <c r="CR57" i="19" s="1"/>
  <c r="CT57" i="19" a="1"/>
  <c r="CT57" i="19" s="1"/>
  <c r="CS57" i="19" a="1"/>
  <c r="CS57" i="19" s="1"/>
  <c r="CU57" i="19" a="1"/>
  <c r="CU57" i="19" s="1"/>
  <c r="CK39" i="19" a="1"/>
  <c r="CK39" i="19" s="1"/>
  <c r="CL39" i="19" a="1"/>
  <c r="CL39" i="19" s="1"/>
  <c r="CM39" i="19" a="1"/>
  <c r="CM39" i="19" s="1"/>
  <c r="CN29" i="19" a="1"/>
  <c r="CN29" i="19" s="1"/>
  <c r="CO29" i="19" a="1"/>
  <c r="CO29" i="19" s="1"/>
  <c r="CM29" i="19" a="1"/>
  <c r="CM29" i="19" s="1"/>
  <c r="CK29" i="19" a="1"/>
  <c r="CK29" i="19" s="1"/>
  <c r="CL29" i="19" a="1"/>
  <c r="CL29" i="19" s="1"/>
  <c r="CO39" i="19" a="1"/>
  <c r="CO39" i="19" s="1"/>
  <c r="BO51" i="19"/>
  <c r="Z26" i="19"/>
  <c r="X43" i="19"/>
  <c r="Z40" i="19"/>
  <c r="X48" i="19"/>
  <c r="Z31" i="19"/>
  <c r="Z45" i="19"/>
  <c r="X40" i="19"/>
  <c r="X54" i="19"/>
  <c r="Z46" i="19"/>
  <c r="Z34" i="19"/>
  <c r="X31" i="19"/>
  <c r="Z54" i="19"/>
  <c r="V22" i="19"/>
  <c r="BO22" i="19"/>
  <c r="X34" i="19"/>
  <c r="Z35" i="19"/>
  <c r="Z43" i="19"/>
  <c r="X35" i="19"/>
  <c r="Z44" i="19"/>
  <c r="V40" i="19"/>
  <c r="BS40" i="19"/>
  <c r="Z25" i="19"/>
  <c r="V43" i="19"/>
  <c r="BS43" i="19"/>
  <c r="V46" i="19"/>
  <c r="BS46" i="19"/>
  <c r="V25" i="19"/>
  <c r="BS25" i="19"/>
  <c r="V48" i="19"/>
  <c r="BS48" i="19"/>
  <c r="V44" i="19"/>
  <c r="BS44" i="19"/>
  <c r="X22" i="19"/>
  <c r="V45" i="19"/>
  <c r="BS45" i="19"/>
  <c r="V54" i="19"/>
  <c r="BS54" i="19"/>
  <c r="X46" i="19"/>
  <c r="Z22" i="19"/>
  <c r="X44" i="19"/>
  <c r="V31" i="19"/>
  <c r="BS31" i="19"/>
  <c r="X26" i="19"/>
  <c r="Z48" i="19"/>
  <c r="X25" i="19"/>
  <c r="V26" i="19"/>
  <c r="BS26" i="19"/>
  <c r="V34" i="19"/>
  <c r="BS34" i="19"/>
  <c r="V35" i="19"/>
  <c r="BS35" i="19"/>
  <c r="BT22" i="19"/>
  <c r="BP22" i="19"/>
  <c r="CE22" i="19" a="1"/>
  <c r="CE22" i="19" s="1"/>
  <c r="CI22" i="19" a="1"/>
  <c r="CI22" i="19" s="1"/>
  <c r="CF22" i="19" a="1"/>
  <c r="CF22" i="19" s="1"/>
  <c r="CG22" i="19" a="1"/>
  <c r="CG22" i="19" s="1"/>
  <c r="CH22" i="19" a="1"/>
  <c r="CH22" i="19" s="1"/>
  <c r="CE62" i="19" a="1"/>
  <c r="CE62" i="19" s="1"/>
  <c r="CF62" i="19" a="1"/>
  <c r="CF62" i="19" s="1"/>
  <c r="CH62" i="19" a="1"/>
  <c r="CH62" i="19" s="1"/>
  <c r="CI62" i="19" a="1"/>
  <c r="CI62" i="19" s="1"/>
  <c r="CG62" i="19" a="1"/>
  <c r="CG62" i="19" s="1"/>
  <c r="CI31" i="19" a="1"/>
  <c r="CI31" i="19" s="1"/>
  <c r="CE31" i="19" a="1"/>
  <c r="CE31" i="19" s="1"/>
  <c r="CF31" i="19" a="1"/>
  <c r="CF31" i="19" s="1"/>
  <c r="CG31" i="19" a="1"/>
  <c r="CG31" i="19" s="1"/>
  <c r="CH31" i="19" a="1"/>
  <c r="CH31" i="19" s="1"/>
  <c r="CE45" i="19" a="1"/>
  <c r="CE45" i="19" s="1"/>
  <c r="CF45" i="19" a="1"/>
  <c r="CF45" i="19" s="1"/>
  <c r="CG45" i="19" a="1"/>
  <c r="CG45" i="19" s="1"/>
  <c r="CH45" i="19" a="1"/>
  <c r="CH45" i="19" s="1"/>
  <c r="CI45" i="19" a="1"/>
  <c r="CI45" i="19" s="1"/>
  <c r="CF56" i="19" a="1"/>
  <c r="CF56" i="19" s="1"/>
  <c r="CG56" i="19" a="1"/>
  <c r="CG56" i="19" s="1"/>
  <c r="CH56" i="19" a="1"/>
  <c r="CH56" i="19" s="1"/>
  <c r="CI56" i="19" a="1"/>
  <c r="CI56" i="19" s="1"/>
  <c r="CE56" i="19" a="1"/>
  <c r="CE56" i="19" s="1"/>
  <c r="CE23" i="19" a="1"/>
  <c r="CE23" i="19" s="1"/>
  <c r="CF23" i="19" a="1"/>
  <c r="CF23" i="19" s="1"/>
  <c r="CG23" i="19" a="1"/>
  <c r="CG23" i="19" s="1"/>
  <c r="CH23" i="19" a="1"/>
  <c r="CH23" i="19" s="1"/>
  <c r="CI23" i="19" a="1"/>
  <c r="CI23" i="19" s="1"/>
  <c r="CF51" i="19" a="1"/>
  <c r="CF51" i="19" s="1"/>
  <c r="CG51" i="19" a="1"/>
  <c r="CG51" i="19" s="1"/>
  <c r="CH51" i="19" a="1"/>
  <c r="CH51" i="19" s="1"/>
  <c r="CI51" i="19" a="1"/>
  <c r="CI51" i="19" s="1"/>
  <c r="CE51" i="19" a="1"/>
  <c r="CE51" i="19" s="1"/>
  <c r="CE36" i="19" a="1"/>
  <c r="CE36" i="19" s="1"/>
  <c r="CF36" i="19" a="1"/>
  <c r="CF36" i="19" s="1"/>
  <c r="CG36" i="19" a="1"/>
  <c r="CG36" i="19" s="1"/>
  <c r="CH36" i="19" a="1"/>
  <c r="CH36" i="19" s="1"/>
  <c r="CI36" i="19" a="1"/>
  <c r="CI36" i="19" s="1"/>
  <c r="CE60" i="19" a="1"/>
  <c r="CE60" i="19" s="1"/>
  <c r="CF60" i="19" a="1"/>
  <c r="CF60" i="19" s="1"/>
  <c r="CG60" i="19" a="1"/>
  <c r="CG60" i="19" s="1"/>
  <c r="CH60" i="19" a="1"/>
  <c r="CH60" i="19" s="1"/>
  <c r="CI60" i="19" a="1"/>
  <c r="CI60" i="19" s="1"/>
  <c r="CH49" i="19" a="1"/>
  <c r="CH49" i="19" s="1"/>
  <c r="CI49" i="19" a="1"/>
  <c r="CI49" i="19" s="1"/>
  <c r="CF49" i="19" a="1"/>
  <c r="CF49" i="19" s="1"/>
  <c r="CG49" i="19" a="1"/>
  <c r="CG49" i="19" s="1"/>
  <c r="CE49" i="19" a="1"/>
  <c r="CE49" i="19" s="1"/>
  <c r="CE26" i="19" a="1"/>
  <c r="CE26" i="19" s="1"/>
  <c r="CF26" i="19" a="1"/>
  <c r="CF26" i="19" s="1"/>
  <c r="CG26" i="19" a="1"/>
  <c r="CG26" i="19" s="1"/>
  <c r="CH26" i="19" a="1"/>
  <c r="CH26" i="19" s="1"/>
  <c r="CI26" i="19" a="1"/>
  <c r="CI26" i="19" s="1"/>
  <c r="CE42" i="19" a="1"/>
  <c r="CE42" i="19" s="1"/>
  <c r="CF42" i="19" a="1"/>
  <c r="CF42" i="19" s="1"/>
  <c r="CG42" i="19" a="1"/>
  <c r="CG42" i="19" s="1"/>
  <c r="CH42" i="19" a="1"/>
  <c r="CH42" i="19" s="1"/>
  <c r="CI42" i="19" a="1"/>
  <c r="CI42" i="19" s="1"/>
  <c r="CF61" i="19" a="1"/>
  <c r="CF61" i="19" s="1"/>
  <c r="CG61" i="19" a="1"/>
  <c r="CG61" i="19" s="1"/>
  <c r="CH61" i="19" a="1"/>
  <c r="CH61" i="19" s="1"/>
  <c r="CI61" i="19" a="1"/>
  <c r="CI61" i="19" s="1"/>
  <c r="CE61" i="19" a="1"/>
  <c r="CE61" i="19" s="1"/>
  <c r="CE57" i="19" a="1"/>
  <c r="CE57" i="19" s="1"/>
  <c r="CF57" i="19" a="1"/>
  <c r="CF57" i="19" s="1"/>
  <c r="CG57" i="19" a="1"/>
  <c r="CG57" i="19" s="1"/>
  <c r="CH57" i="19" a="1"/>
  <c r="CH57" i="19" s="1"/>
  <c r="CI57" i="19" a="1"/>
  <c r="CI57" i="19" s="1"/>
  <c r="CE38" i="19" a="1"/>
  <c r="CE38" i="19" s="1"/>
  <c r="CF38" i="19" a="1"/>
  <c r="CF38" i="19" s="1"/>
  <c r="CH38" i="19" a="1"/>
  <c r="CH38" i="19" s="1"/>
  <c r="CG38" i="19" a="1"/>
  <c r="CG38" i="19" s="1"/>
  <c r="CI38" i="19" a="1"/>
  <c r="CI38" i="19" s="1"/>
  <c r="CE25" i="19" a="1"/>
  <c r="CE25" i="19" s="1"/>
  <c r="CF25" i="19" a="1"/>
  <c r="CF25" i="19" s="1"/>
  <c r="CG25" i="19" a="1"/>
  <c r="CG25" i="19" s="1"/>
  <c r="CH25" i="19" a="1"/>
  <c r="CH25" i="19" s="1"/>
  <c r="CI25" i="19" a="1"/>
  <c r="CI25" i="19" s="1"/>
  <c r="CE55" i="19" a="1"/>
  <c r="CE55" i="19" s="1"/>
  <c r="CF55" i="19" a="1"/>
  <c r="CF55" i="19" s="1"/>
  <c r="CG55" i="19" a="1"/>
  <c r="CG55" i="19" s="1"/>
  <c r="CH55" i="19" a="1"/>
  <c r="CH55" i="19" s="1"/>
  <c r="CI55" i="19" a="1"/>
  <c r="CI55" i="19" s="1"/>
  <c r="CI44" i="19" a="1"/>
  <c r="CI44" i="19" s="1"/>
  <c r="CE44" i="19" a="1"/>
  <c r="CE44" i="19" s="1"/>
  <c r="CF44" i="19" a="1"/>
  <c r="CF44" i="19" s="1"/>
  <c r="CG44" i="19" a="1"/>
  <c r="CG44" i="19" s="1"/>
  <c r="CH44" i="19" a="1"/>
  <c r="CH44" i="19" s="1"/>
  <c r="CG40" i="19" a="1"/>
  <c r="CG40" i="19" s="1"/>
  <c r="CH40" i="19" a="1"/>
  <c r="CH40" i="19" s="1"/>
  <c r="CI40" i="19" a="1"/>
  <c r="CI40" i="19" s="1"/>
  <c r="CF40" i="19" a="1"/>
  <c r="CF40" i="19" s="1"/>
  <c r="CE40" i="19" a="1"/>
  <c r="CE40" i="19" s="1"/>
  <c r="CE50" i="19" a="1"/>
  <c r="CE50" i="19" s="1"/>
  <c r="CF50" i="19" a="1"/>
  <c r="CF50" i="19" s="1"/>
  <c r="CG50" i="19" a="1"/>
  <c r="CG50" i="19" s="1"/>
  <c r="CH50" i="19" a="1"/>
  <c r="CH50" i="19" s="1"/>
  <c r="CI50" i="19" a="1"/>
  <c r="CI50" i="19" s="1"/>
  <c r="CE47" i="19" a="1"/>
  <c r="CE47" i="19" s="1"/>
  <c r="CF47" i="19" a="1"/>
  <c r="CF47" i="19" s="1"/>
  <c r="CG47" i="19" a="1"/>
  <c r="CG47" i="19" s="1"/>
  <c r="CH47" i="19" a="1"/>
  <c r="CH47" i="19" s="1"/>
  <c r="CI47" i="19" a="1"/>
  <c r="CI47" i="19" s="1"/>
  <c r="CH34" i="19" a="1"/>
  <c r="CH34" i="19" s="1"/>
  <c r="CI34" i="19" a="1"/>
  <c r="CI34" i="19" s="1"/>
  <c r="CE34" i="19" a="1"/>
  <c r="CE34" i="19" s="1"/>
  <c r="CF34" i="19" a="1"/>
  <c r="CF34" i="19" s="1"/>
  <c r="CG34" i="19" a="1"/>
  <c r="CG34" i="19" s="1"/>
  <c r="CE35" i="19" a="1"/>
  <c r="CE35" i="19" s="1"/>
  <c r="CF35" i="19" a="1"/>
  <c r="CF35" i="19" s="1"/>
  <c r="CG35" i="19" a="1"/>
  <c r="CG35" i="19" s="1"/>
  <c r="CI35" i="19" a="1"/>
  <c r="CI35" i="19" s="1"/>
  <c r="CH35" i="19" a="1"/>
  <c r="CH35" i="19" s="1"/>
  <c r="CI41" i="19" a="1"/>
  <c r="CI41" i="19" s="1"/>
  <c r="CE41" i="19" a="1"/>
  <c r="CE41" i="19" s="1"/>
  <c r="CF41" i="19" a="1"/>
  <c r="CF41" i="19" s="1"/>
  <c r="CG41" i="19" a="1"/>
  <c r="CG41" i="19" s="1"/>
  <c r="CH41" i="19" a="1"/>
  <c r="CH41" i="19" s="1"/>
  <c r="CE53" i="19" a="1"/>
  <c r="CE53" i="19" s="1"/>
  <c r="CF53" i="19" a="1"/>
  <c r="CF53" i="19" s="1"/>
  <c r="CG53" i="19" a="1"/>
  <c r="CG53" i="19" s="1"/>
  <c r="CH53" i="19" a="1"/>
  <c r="CH53" i="19" s="1"/>
  <c r="CI53" i="19" a="1"/>
  <c r="CI53" i="19" s="1"/>
  <c r="CH24" i="19" a="1"/>
  <c r="CH24" i="19" s="1"/>
  <c r="CI24" i="19" a="1"/>
  <c r="CI24" i="19" s="1"/>
  <c r="CE24" i="19" a="1"/>
  <c r="CE24" i="19" s="1"/>
  <c r="CF24" i="19" a="1"/>
  <c r="CF24" i="19" s="1"/>
  <c r="CG24" i="19" a="1"/>
  <c r="CG24" i="19" s="1"/>
  <c r="CE52" i="19" a="1"/>
  <c r="CE52" i="19" s="1"/>
  <c r="CF52" i="19" a="1"/>
  <c r="CF52" i="19" s="1"/>
  <c r="CH52" i="19" a="1"/>
  <c r="CH52" i="19" s="1"/>
  <c r="CI52" i="19" a="1"/>
  <c r="CI52" i="19" s="1"/>
  <c r="CG52" i="19" a="1"/>
  <c r="CG52" i="19" s="1"/>
  <c r="AA82" i="30" a="1"/>
  <c r="AA82" i="30" s="1"/>
  <c r="AA84" i="30" a="1"/>
  <c r="AA84" i="30" s="1"/>
  <c r="A21" i="33"/>
  <c r="J22" i="33"/>
  <c r="I23" i="33" s="1"/>
  <c r="K22" i="33"/>
  <c r="H22" i="33" s="1" a="1"/>
  <c r="H22" i="33" s="1"/>
  <c r="B21" i="33"/>
  <c r="G21" i="33"/>
  <c r="T21" i="33" s="1"/>
  <c r="O22" i="33"/>
  <c r="N23" i="33" s="1"/>
  <c r="P22" i="33"/>
  <c r="M22" i="33" s="1" a="1"/>
  <c r="M22" i="33" s="1"/>
  <c r="AA80" i="30" a="1"/>
  <c r="AA80" i="30" s="1"/>
  <c r="AA110" i="30" a="1"/>
  <c r="AA110" i="30" s="1"/>
  <c r="AA79" i="30" a="1"/>
  <c r="AA79" i="30" s="1"/>
  <c r="CV48" i="19"/>
  <c r="CV25" i="19"/>
  <c r="CP58" i="19"/>
  <c r="CV45" i="19"/>
  <c r="AA120" i="30" a="1"/>
  <c r="AA120" i="30" s="1"/>
  <c r="AA90" i="30" a="1"/>
  <c r="AA90" i="30" s="1"/>
  <c r="AA86" i="30" a="1"/>
  <c r="AA86" i="30" s="1"/>
  <c r="AA40" i="30" a="1"/>
  <c r="AA40" i="30" s="1"/>
  <c r="AA124" i="30" a="1"/>
  <c r="AA124" i="30" s="1"/>
  <c r="AA67" i="30" a="1"/>
  <c r="AA67" i="30" s="1"/>
  <c r="AA52" i="30" a="1"/>
  <c r="AA52" i="30" s="1"/>
  <c r="AA25" i="30" a="1"/>
  <c r="AA25" i="30" s="1"/>
  <c r="AA49" i="30" a="1"/>
  <c r="AA49" i="30" s="1"/>
  <c r="AA22" i="30" a="1"/>
  <c r="AA22" i="30" s="1"/>
  <c r="CV54" i="19"/>
  <c r="CV43" i="19"/>
  <c r="CP31" i="19"/>
  <c r="CP45" i="19"/>
  <c r="CP34" i="19"/>
  <c r="CV38" i="19"/>
  <c r="CJ37" i="19"/>
  <c r="CV44" i="19"/>
  <c r="AU46" i="19"/>
  <c r="AU58" i="19"/>
  <c r="CP62" i="19"/>
  <c r="AU59" i="19"/>
  <c r="AU54" i="19"/>
  <c r="CP42" i="19"/>
  <c r="CP44" i="19"/>
  <c r="CP38" i="19"/>
  <c r="CP46" i="19"/>
  <c r="CV40" i="19"/>
  <c r="CV42" i="19"/>
  <c r="CV28" i="19"/>
  <c r="CV62" i="19"/>
  <c r="CJ27" i="19"/>
  <c r="CJ30" i="19"/>
  <c r="CP28" i="19"/>
  <c r="CP23" i="19"/>
  <c r="AU43" i="19"/>
  <c r="CJ33" i="19"/>
  <c r="CJ32" i="19"/>
  <c r="CV23" i="19"/>
  <c r="CP35" i="19"/>
  <c r="CP40" i="19"/>
  <c r="CJ28" i="19"/>
  <c r="AU48" i="19"/>
  <c r="CJ29" i="19"/>
  <c r="CV46" i="19"/>
  <c r="AA121" i="30" a="1"/>
  <c r="AA121" i="30" s="1"/>
  <c r="AA13" i="30" a="1"/>
  <c r="AA13" i="30" s="1"/>
  <c r="BO44" i="19"/>
  <c r="BO48" i="19"/>
  <c r="BO25" i="19"/>
  <c r="BO58" i="19"/>
  <c r="BO26" i="19"/>
  <c r="BO59" i="19"/>
  <c r="BO31" i="19"/>
  <c r="BO46" i="19"/>
  <c r="BO45" i="19"/>
  <c r="BO35" i="19"/>
  <c r="BO43" i="19"/>
  <c r="BO40" i="19"/>
  <c r="BO54" i="19"/>
  <c r="BO34" i="19"/>
  <c r="Y15" i="19"/>
  <c r="W15" i="19"/>
  <c r="S15" i="19"/>
  <c r="E33" i="27" a="1"/>
  <c r="E33" i="27" s="1"/>
  <c r="U15" i="19"/>
  <c r="E19" i="27" a="1"/>
  <c r="E19" i="27" s="1"/>
  <c r="E35" i="27" a="1"/>
  <c r="E35" i="27" s="1"/>
  <c r="E22" i="27" a="1"/>
  <c r="E22" i="27" s="1"/>
  <c r="E39" i="27" a="1"/>
  <c r="E39" i="27" s="1"/>
  <c r="E34" i="27" a="1"/>
  <c r="E34" i="27" s="1"/>
  <c r="E8" i="27" a="1"/>
  <c r="E8" i="27" s="1"/>
  <c r="E10" i="27" a="1"/>
  <c r="E10" i="27" s="1"/>
  <c r="E31" i="27" a="1"/>
  <c r="E31" i="27" s="1"/>
  <c r="E27" i="27" a="1"/>
  <c r="E27" i="27" s="1"/>
  <c r="E12" i="27" a="1"/>
  <c r="E12" i="27" s="1"/>
  <c r="E41" i="27" a="1"/>
  <c r="E41" i="27" s="1"/>
  <c r="E40" i="27" a="1"/>
  <c r="E40" i="27" s="1"/>
  <c r="E24" i="27" a="1"/>
  <c r="E24" i="27" s="1"/>
  <c r="E15" i="27" a="1"/>
  <c r="E15" i="27" s="1"/>
  <c r="E17" i="27" a="1"/>
  <c r="E17" i="27" s="1"/>
  <c r="E36" i="27" a="1"/>
  <c r="E36" i="27" s="1"/>
  <c r="E18" i="27" a="1"/>
  <c r="E18" i="27" s="1"/>
  <c r="E4" i="27" a="1"/>
  <c r="E4" i="27" s="1"/>
  <c r="E28" i="27" a="1"/>
  <c r="E28" i="27" s="1"/>
  <c r="E20" i="27" a="1"/>
  <c r="E20" i="27" s="1"/>
  <c r="E42" i="27" a="1"/>
  <c r="E42" i="27" s="1"/>
  <c r="E5" i="27" a="1"/>
  <c r="E5" i="27" s="1"/>
  <c r="E14" i="27" a="1"/>
  <c r="E14" i="27" s="1"/>
  <c r="E37" i="27" a="1"/>
  <c r="E37" i="27" s="1"/>
  <c r="E38" i="27" a="1"/>
  <c r="E38" i="27" s="1"/>
  <c r="E29" i="27" a="1"/>
  <c r="E29" i="27" s="1"/>
  <c r="E23" i="27" a="1"/>
  <c r="E23" i="27" s="1"/>
  <c r="E13" i="27" a="1"/>
  <c r="E13" i="27" s="1"/>
  <c r="E16" i="27" a="1"/>
  <c r="E16" i="27" s="1"/>
  <c r="E3" i="27" a="1"/>
  <c r="E3" i="27" s="1"/>
  <c r="E7" i="27" a="1"/>
  <c r="E7" i="27" s="1"/>
  <c r="E26" i="27" a="1"/>
  <c r="E26" i="27" s="1"/>
  <c r="E21" i="27" a="1"/>
  <c r="E21" i="27" s="1"/>
  <c r="E2" i="27" a="1"/>
  <c r="E2" i="27" s="1"/>
  <c r="E30" i="27" a="1"/>
  <c r="E30" i="27" s="1"/>
  <c r="E25" i="27" a="1"/>
  <c r="E25" i="27" s="1"/>
  <c r="E32" i="27" a="1"/>
  <c r="E32" i="27" s="1"/>
  <c r="E9" i="27" a="1"/>
  <c r="E9" i="27" s="1"/>
  <c r="E11" i="27" a="1"/>
  <c r="E11" i="27" s="1"/>
  <c r="E6" i="27" a="1"/>
  <c r="E6" i="27" s="1"/>
  <c r="F12" i="39" a="1"/>
  <c r="F12" i="39" s="1"/>
  <c r="A12" i="39" a="1"/>
  <c r="A12" i="39" s="1"/>
  <c r="F8" i="39" a="1"/>
  <c r="F8" i="39" s="1"/>
  <c r="A8" i="39" a="1"/>
  <c r="A8" i="39" s="1"/>
  <c r="A10" i="39" a="1"/>
  <c r="A10" i="39" s="1"/>
  <c r="F10" i="39" a="1"/>
  <c r="F10" i="39" s="1"/>
  <c r="A37" i="39" a="1"/>
  <c r="A37" i="39" s="1"/>
  <c r="F37" i="39" a="1"/>
  <c r="F37" i="39" s="1"/>
  <c r="F17" i="39" a="1"/>
  <c r="F17" i="39" s="1"/>
  <c r="A17" i="39" a="1"/>
  <c r="A17" i="39" s="1"/>
  <c r="A21" i="39" a="1"/>
  <c r="A21" i="39" s="1"/>
  <c r="F21" i="39" a="1"/>
  <c r="F21" i="39" s="1"/>
  <c r="A33" i="39" a="1"/>
  <c r="A33" i="39" s="1"/>
  <c r="F33" i="39" a="1"/>
  <c r="F33" i="39" s="1"/>
  <c r="F5" i="39" a="1"/>
  <c r="F5" i="39" s="1"/>
  <c r="A5" i="39" a="1"/>
  <c r="A5" i="39" s="1"/>
  <c r="F2" i="39" a="1"/>
  <c r="F2" i="39" s="1"/>
  <c r="A2" i="39" a="1"/>
  <c r="A2" i="39" s="1"/>
  <c r="A24" i="39" a="1"/>
  <c r="A24" i="39" s="1"/>
  <c r="F24" i="39" a="1"/>
  <c r="F24" i="39" s="1"/>
  <c r="A27" i="39" a="1"/>
  <c r="A27" i="39" s="1"/>
  <c r="F27" i="39" a="1"/>
  <c r="F27" i="39" s="1"/>
  <c r="A22" i="39" a="1"/>
  <c r="A22" i="39" s="1"/>
  <c r="F22" i="39" a="1"/>
  <c r="F22" i="39" s="1"/>
  <c r="F15" i="39" a="1"/>
  <c r="F15" i="39" s="1"/>
  <c r="A15" i="39" a="1"/>
  <c r="A15" i="39" s="1"/>
  <c r="F35" i="39" a="1"/>
  <c r="F35" i="39" s="1"/>
  <c r="A35" i="39" a="1"/>
  <c r="A35" i="39" s="1"/>
  <c r="A26" i="39" a="1"/>
  <c r="A26" i="39" s="1"/>
  <c r="F26" i="39" a="1"/>
  <c r="F26" i="39" s="1"/>
  <c r="A13" i="39" a="1"/>
  <c r="A13" i="39" s="1"/>
  <c r="F13" i="39" a="1"/>
  <c r="F13" i="39" s="1"/>
  <c r="A25" i="39" a="1"/>
  <c r="A25" i="39" s="1"/>
  <c r="F25" i="39" a="1"/>
  <c r="F25" i="39" s="1"/>
  <c r="A20" i="39" a="1"/>
  <c r="A20" i="39" s="1"/>
  <c r="F20" i="39" a="1"/>
  <c r="F20" i="39" s="1"/>
  <c r="A29" i="39" a="1"/>
  <c r="A29" i="39" s="1"/>
  <c r="F29" i="39" a="1"/>
  <c r="F29" i="39" s="1"/>
  <c r="A28" i="39" a="1"/>
  <c r="A28" i="39" s="1"/>
  <c r="F28" i="39" a="1"/>
  <c r="F28" i="39" s="1"/>
  <c r="F18" i="39" a="1"/>
  <c r="F18" i="39" s="1"/>
  <c r="A18" i="39" a="1"/>
  <c r="A18" i="39" s="1"/>
  <c r="F14" i="39" a="1"/>
  <c r="F14" i="39" s="1"/>
  <c r="A14" i="39" a="1"/>
  <c r="A14" i="39" s="1"/>
  <c r="F4" i="39" a="1"/>
  <c r="F4" i="39" s="1"/>
  <c r="A4" i="39" a="1"/>
  <c r="A4" i="39" s="1"/>
  <c r="F34" i="39" a="1"/>
  <c r="F34" i="39" s="1"/>
  <c r="A34" i="39" a="1"/>
  <c r="A34" i="39" s="1"/>
  <c r="F7" i="39" a="1"/>
  <c r="F7" i="39" s="1"/>
  <c r="A7" i="39" a="1"/>
  <c r="A7" i="39" s="1"/>
  <c r="A9" i="39" a="1"/>
  <c r="A9" i="39" s="1"/>
  <c r="F9" i="39" a="1"/>
  <c r="F9" i="39" s="1"/>
  <c r="F3" i="39" a="1"/>
  <c r="F3" i="39" s="1"/>
  <c r="A3" i="39" a="1"/>
  <c r="A3" i="39" s="1"/>
  <c r="F36" i="39" a="1"/>
  <c r="F36" i="39" s="1"/>
  <c r="A36" i="39" a="1"/>
  <c r="A36" i="39" s="1"/>
  <c r="F11" i="39" a="1"/>
  <c r="F11" i="39" s="1"/>
  <c r="A11" i="39" a="1"/>
  <c r="A11" i="39" s="1"/>
  <c r="F19" i="39" a="1"/>
  <c r="F19" i="39" s="1"/>
  <c r="A19" i="39" a="1"/>
  <c r="A19" i="39" s="1"/>
  <c r="F32" i="39" a="1"/>
  <c r="F32" i="39" s="1"/>
  <c r="A32" i="39" a="1"/>
  <c r="A32" i="39" s="1"/>
  <c r="A16" i="39" a="1"/>
  <c r="A16" i="39" s="1"/>
  <c r="F6" i="39" a="1"/>
  <c r="F6" i="39" s="1"/>
  <c r="A6" i="39" a="1"/>
  <c r="A6" i="39" s="1"/>
  <c r="F38" i="39" a="1"/>
  <c r="F38" i="39" s="1"/>
  <c r="A38" i="39" a="1"/>
  <c r="A38" i="39" s="1"/>
  <c r="F39" i="39" a="1"/>
  <c r="F39" i="39" s="1"/>
  <c r="A39" i="39" a="1"/>
  <c r="A39" i="39" s="1"/>
  <c r="F41" i="39" a="1"/>
  <c r="F41" i="39" s="1"/>
  <c r="A41" i="39" a="1"/>
  <c r="A41" i="39" s="1"/>
  <c r="F40" i="39" a="1"/>
  <c r="F40" i="39" s="1"/>
  <c r="A40" i="39" a="1"/>
  <c r="A40" i="39" s="1"/>
  <c r="F42" i="39" a="1"/>
  <c r="F42" i="39" s="1"/>
  <c r="A42" i="39" a="1"/>
  <c r="A42" i="39" s="1"/>
  <c r="F30" i="39" a="1"/>
  <c r="F30" i="39" s="1"/>
  <c r="A30" i="39" a="1"/>
  <c r="A30" i="39" s="1"/>
  <c r="A31" i="39" a="1"/>
  <c r="A31" i="39" s="1"/>
  <c r="F31" i="39" a="1"/>
  <c r="F31" i="39" s="1"/>
  <c r="CJ39" i="19" l="1"/>
  <c r="L34" i="27" a="1"/>
  <c r="L34" i="27" s="1"/>
  <c r="K34" i="27" a="1"/>
  <c r="K34" i="27" s="1"/>
  <c r="N34" i="27" a="1"/>
  <c r="N34" i="27" s="1"/>
  <c r="M34" i="27" a="1"/>
  <c r="M34" i="27" s="1"/>
  <c r="L30" i="27" a="1"/>
  <c r="L30" i="27" s="1"/>
  <c r="K30" i="27" a="1"/>
  <c r="K30" i="27" s="1"/>
  <c r="N30" i="27" a="1"/>
  <c r="N30" i="27" s="1"/>
  <c r="M30" i="27" a="1"/>
  <c r="M30" i="27" s="1"/>
  <c r="N38" i="27" a="1"/>
  <c r="N38" i="27" s="1"/>
  <c r="M38" i="27" a="1"/>
  <c r="M38" i="27" s="1"/>
  <c r="L38" i="27" a="1"/>
  <c r="L38" i="27" s="1"/>
  <c r="K38" i="27" a="1"/>
  <c r="K38" i="27" s="1"/>
  <c r="L17" i="27" a="1"/>
  <c r="L17" i="27" s="1"/>
  <c r="N17" i="27" a="1"/>
  <c r="N17" i="27" s="1"/>
  <c r="K17" i="27" a="1"/>
  <c r="K17" i="27" s="1"/>
  <c r="M17" i="27" a="1"/>
  <c r="M17" i="27" s="1"/>
  <c r="N2" i="27" a="1"/>
  <c r="N2" i="27" s="1"/>
  <c r="M2" i="27" a="1"/>
  <c r="M2" i="27" s="1"/>
  <c r="L2" i="27" a="1"/>
  <c r="L2" i="27" s="1"/>
  <c r="K2" i="27" a="1"/>
  <c r="K2" i="27" s="1"/>
  <c r="N37" i="27" a="1"/>
  <c r="N37" i="27" s="1"/>
  <c r="M37" i="27" a="1"/>
  <c r="M37" i="27" s="1"/>
  <c r="L37" i="27" a="1"/>
  <c r="L37" i="27" s="1"/>
  <c r="K37" i="27" a="1"/>
  <c r="K37" i="27" s="1"/>
  <c r="F15" i="27" a="1"/>
  <c r="F15" i="27" s="1"/>
  <c r="N15" i="27" a="1"/>
  <c r="N15" i="27" s="1"/>
  <c r="M15" i="27" a="1"/>
  <c r="M15" i="27" s="1"/>
  <c r="L15" i="27" a="1"/>
  <c r="L15" i="27" s="1"/>
  <c r="K15" i="27" a="1"/>
  <c r="K15" i="27" s="1"/>
  <c r="C39" i="27"/>
  <c r="K39" i="27" a="1"/>
  <c r="K39" i="27" s="1"/>
  <c r="N39" i="27" a="1"/>
  <c r="N39" i="27" s="1"/>
  <c r="M39" i="27" a="1"/>
  <c r="M39" i="27" s="1"/>
  <c r="L39" i="27" a="1"/>
  <c r="L39" i="27" s="1"/>
  <c r="L21" i="27" a="1"/>
  <c r="L21" i="27" s="1"/>
  <c r="N21" i="27" a="1"/>
  <c r="N21" i="27" s="1"/>
  <c r="M21" i="27" a="1"/>
  <c r="M21" i="27" s="1"/>
  <c r="K21" i="27" a="1"/>
  <c r="K21" i="27" s="1"/>
  <c r="N5" i="27" a="1"/>
  <c r="N5" i="27" s="1"/>
  <c r="M5" i="27" a="1"/>
  <c r="M5" i="27" s="1"/>
  <c r="L5" i="27" a="1"/>
  <c r="L5" i="27" s="1"/>
  <c r="D40" i="27"/>
  <c r="L40" i="27" a="1"/>
  <c r="L40" i="27" s="1"/>
  <c r="K40" i="27" a="1"/>
  <c r="K40" i="27" s="1"/>
  <c r="M40" i="27" a="1"/>
  <c r="M40" i="27" s="1"/>
  <c r="N40" i="27" a="1"/>
  <c r="N40" i="27" s="1"/>
  <c r="A35" i="27" a="1"/>
  <c r="A35" i="27" s="1"/>
  <c r="L35" i="27" a="1"/>
  <c r="L35" i="27" s="1"/>
  <c r="K35" i="27" a="1"/>
  <c r="K35" i="27" s="1"/>
  <c r="N35" i="27" a="1"/>
  <c r="N35" i="27" s="1"/>
  <c r="M35" i="27" a="1"/>
  <c r="M35" i="27" s="1"/>
  <c r="N26" i="27" a="1"/>
  <c r="N26" i="27" s="1"/>
  <c r="M26" i="27" a="1"/>
  <c r="M26" i="27" s="1"/>
  <c r="K26" i="27" a="1"/>
  <c r="K26" i="27" s="1"/>
  <c r="L26" i="27" a="1"/>
  <c r="L26" i="27" s="1"/>
  <c r="K7" i="27" a="1"/>
  <c r="K7" i="27" s="1"/>
  <c r="N7" i="27" a="1"/>
  <c r="N7" i="27" s="1"/>
  <c r="L7" i="27" a="1"/>
  <c r="L7" i="27" s="1"/>
  <c r="M7" i="27" a="1"/>
  <c r="M7" i="27" s="1"/>
  <c r="N42" i="27" a="1"/>
  <c r="N42" i="27" s="1"/>
  <c r="M42" i="27" a="1"/>
  <c r="M42" i="27" s="1"/>
  <c r="L42" i="27" a="1"/>
  <c r="L42" i="27" s="1"/>
  <c r="K42" i="27" a="1"/>
  <c r="K42" i="27" s="1"/>
  <c r="L41" i="27" a="1"/>
  <c r="L41" i="27" s="1"/>
  <c r="K41" i="27" a="1"/>
  <c r="K41" i="27" s="1"/>
  <c r="M41" i="27" a="1"/>
  <c r="M41" i="27" s="1"/>
  <c r="N41" i="27" a="1"/>
  <c r="N41" i="27" s="1"/>
  <c r="O19" i="27" a="1"/>
  <c r="O19" i="27" s="1"/>
  <c r="K19" i="27" a="1"/>
  <c r="K19" i="27" s="1"/>
  <c r="L19" i="27" a="1"/>
  <c r="L19" i="27" s="1"/>
  <c r="M19" i="27" a="1"/>
  <c r="M19" i="27" s="1"/>
  <c r="N19" i="27" a="1"/>
  <c r="N19" i="27" s="1"/>
  <c r="L14" i="27" a="1"/>
  <c r="L14" i="27" s="1"/>
  <c r="M14" i="27" a="1"/>
  <c r="M14" i="27" s="1"/>
  <c r="K14" i="27" a="1"/>
  <c r="K14" i="27" s="1"/>
  <c r="N14" i="27" a="1"/>
  <c r="N14" i="27" s="1"/>
  <c r="N6" i="27" a="1"/>
  <c r="N6" i="27" s="1"/>
  <c r="L6" i="27" a="1"/>
  <c r="L6" i="27" s="1"/>
  <c r="M6" i="27" a="1"/>
  <c r="M6" i="27" s="1"/>
  <c r="L3" i="27" a="1"/>
  <c r="L3" i="27" s="1"/>
  <c r="N3" i="27" a="1"/>
  <c r="N3" i="27" s="1"/>
  <c r="M3" i="27" a="1"/>
  <c r="M3" i="27" s="1"/>
  <c r="N20" i="27" a="1"/>
  <c r="N20" i="27" s="1"/>
  <c r="M20" i="27" a="1"/>
  <c r="M20" i="27" s="1"/>
  <c r="L20" i="27" a="1"/>
  <c r="L20" i="27" s="1"/>
  <c r="K20" i="27" a="1"/>
  <c r="K20" i="27" s="1"/>
  <c r="K12" i="27" a="1"/>
  <c r="K12" i="27" s="1"/>
  <c r="N12" i="27" a="1"/>
  <c r="N12" i="27" s="1"/>
  <c r="L12" i="27" a="1"/>
  <c r="L12" i="27" s="1"/>
  <c r="M12" i="27" a="1"/>
  <c r="M12" i="27" s="1"/>
  <c r="K22" i="27" a="1"/>
  <c r="K22" i="27" s="1"/>
  <c r="L22" i="27" a="1"/>
  <c r="L22" i="27" s="1"/>
  <c r="N22" i="27" a="1"/>
  <c r="N22" i="27" s="1"/>
  <c r="M22" i="27" a="1"/>
  <c r="M22" i="27" s="1"/>
  <c r="K11" i="27" a="1"/>
  <c r="K11" i="27" s="1"/>
  <c r="M11" i="27" a="1"/>
  <c r="M11" i="27" s="1"/>
  <c r="N11" i="27" a="1"/>
  <c r="N11" i="27" s="1"/>
  <c r="L11" i="27" a="1"/>
  <c r="L11" i="27" s="1"/>
  <c r="N16" i="27" a="1"/>
  <c r="N16" i="27" s="1"/>
  <c r="L16" i="27" a="1"/>
  <c r="L16" i="27" s="1"/>
  <c r="M16" i="27" a="1"/>
  <c r="M16" i="27" s="1"/>
  <c r="K16" i="27" a="1"/>
  <c r="K16" i="27" s="1"/>
  <c r="K28" i="27" a="1"/>
  <c r="K28" i="27" s="1"/>
  <c r="M28" i="27" a="1"/>
  <c r="M28" i="27" s="1"/>
  <c r="L28" i="27" a="1"/>
  <c r="L28" i="27" s="1"/>
  <c r="N28" i="27" a="1"/>
  <c r="N28" i="27" s="1"/>
  <c r="L27" i="27" a="1"/>
  <c r="L27" i="27" s="1"/>
  <c r="N27" i="27" a="1"/>
  <c r="N27" i="27" s="1"/>
  <c r="M27" i="27" a="1"/>
  <c r="M27" i="27" s="1"/>
  <c r="K27" i="27" a="1"/>
  <c r="K27" i="27" s="1"/>
  <c r="B33" i="27"/>
  <c r="N33" i="27" a="1"/>
  <c r="N33" i="27" s="1"/>
  <c r="M33" i="27" a="1"/>
  <c r="M33" i="27" s="1"/>
  <c r="K33" i="27" a="1"/>
  <c r="K33" i="27" s="1"/>
  <c r="L33" i="27" a="1"/>
  <c r="L33" i="27" s="1"/>
  <c r="N31" i="27" a="1"/>
  <c r="N31" i="27" s="1"/>
  <c r="M31" i="27" a="1"/>
  <c r="M31" i="27" s="1"/>
  <c r="K31" i="27" a="1"/>
  <c r="K31" i="27" s="1"/>
  <c r="L31" i="27" a="1"/>
  <c r="L31" i="27" s="1"/>
  <c r="K24" i="27" a="1"/>
  <c r="K24" i="27" s="1"/>
  <c r="L24" i="27" a="1"/>
  <c r="L24" i="27" s="1"/>
  <c r="M24" i="27" a="1"/>
  <c r="M24" i="27" s="1"/>
  <c r="N24" i="27" a="1"/>
  <c r="N24" i="27" s="1"/>
  <c r="N9" i="27" a="1"/>
  <c r="N9" i="27" s="1"/>
  <c r="M9" i="27" a="1"/>
  <c r="M9" i="27" s="1"/>
  <c r="L9" i="27" a="1"/>
  <c r="L9" i="27" s="1"/>
  <c r="N4" i="27" a="1"/>
  <c r="N4" i="27" s="1"/>
  <c r="L4" i="27" a="1"/>
  <c r="L4" i="27" s="1"/>
  <c r="M4" i="27" a="1"/>
  <c r="M4" i="27" s="1"/>
  <c r="M32" i="27" a="1"/>
  <c r="M32" i="27" s="1"/>
  <c r="N32" i="27" a="1"/>
  <c r="N32" i="27" s="1"/>
  <c r="L32" i="27" a="1"/>
  <c r="L32" i="27" s="1"/>
  <c r="K32" i="27" a="1"/>
  <c r="K32" i="27" s="1"/>
  <c r="N23" i="27" a="1"/>
  <c r="N23" i="27" s="1"/>
  <c r="K23" i="27" a="1"/>
  <c r="K23" i="27" s="1"/>
  <c r="L23" i="27" a="1"/>
  <c r="L23" i="27" s="1"/>
  <c r="M23" i="27" a="1"/>
  <c r="M23" i="27" s="1"/>
  <c r="K18" i="27" a="1"/>
  <c r="K18" i="27" s="1"/>
  <c r="L18" i="27" a="1"/>
  <c r="L18" i="27" s="1"/>
  <c r="M18" i="27" a="1"/>
  <c r="M18" i="27" s="1"/>
  <c r="N18" i="27" a="1"/>
  <c r="N18" i="27" s="1"/>
  <c r="N10" i="27" a="1"/>
  <c r="N10" i="27" s="1"/>
  <c r="M10" i="27" a="1"/>
  <c r="M10" i="27" s="1"/>
  <c r="L10" i="27" a="1"/>
  <c r="L10" i="27" s="1"/>
  <c r="K10" i="27" a="1"/>
  <c r="K10" i="27" s="1"/>
  <c r="K13" i="27" a="1"/>
  <c r="K13" i="27" s="1"/>
  <c r="L13" i="27" a="1"/>
  <c r="L13" i="27" s="1"/>
  <c r="M13" i="27" a="1"/>
  <c r="M13" i="27" s="1"/>
  <c r="N13" i="27" a="1"/>
  <c r="N13" i="27" s="1"/>
  <c r="K25" i="27" a="1"/>
  <c r="K25" i="27" s="1"/>
  <c r="M25" i="27" a="1"/>
  <c r="M25" i="27" s="1"/>
  <c r="N25" i="27" a="1"/>
  <c r="N25" i="27" s="1"/>
  <c r="L25" i="27" a="1"/>
  <c r="L25" i="27" s="1"/>
  <c r="L29" i="27" a="1"/>
  <c r="L29" i="27" s="1"/>
  <c r="K29" i="27" a="1"/>
  <c r="K29" i="27" s="1"/>
  <c r="M29" i="27" a="1"/>
  <c r="M29" i="27" s="1"/>
  <c r="N29" i="27" a="1"/>
  <c r="N29" i="27" s="1"/>
  <c r="L36" i="27" a="1"/>
  <c r="L36" i="27" s="1"/>
  <c r="M36" i="27" a="1"/>
  <c r="M36" i="27" s="1"/>
  <c r="K36" i="27" a="1"/>
  <c r="K36" i="27" s="1"/>
  <c r="N36" i="27" a="1"/>
  <c r="N36" i="27" s="1"/>
  <c r="N8" i="27" a="1"/>
  <c r="N8" i="27" s="1"/>
  <c r="M8" i="27" a="1"/>
  <c r="M8" i="27" s="1"/>
  <c r="L8" i="27" a="1"/>
  <c r="L8" i="27" s="1"/>
  <c r="DJ27" i="19"/>
  <c r="AA27" i="19" s="1"/>
  <c r="AB27" i="19" s="1"/>
  <c r="CP27" i="19"/>
  <c r="T29" i="19"/>
  <c r="K6" i="27" s="1" a="1"/>
  <c r="K6" i="27" s="1"/>
  <c r="T57" i="19"/>
  <c r="T59" i="19"/>
  <c r="DJ41" i="19"/>
  <c r="T39" i="19"/>
  <c r="K9" i="27" s="1" a="1"/>
  <c r="K9" i="27" s="1"/>
  <c r="T56" i="19"/>
  <c r="DJ29" i="19"/>
  <c r="CP25" i="19"/>
  <c r="DJ57" i="19"/>
  <c r="DJ39" i="19"/>
  <c r="T44" i="19"/>
  <c r="CP59" i="19"/>
  <c r="CV59" i="19"/>
  <c r="DJ56" i="19"/>
  <c r="CP26" i="19"/>
  <c r="DJ59" i="19"/>
  <c r="AA30" i="19"/>
  <c r="AB30" i="19" s="1"/>
  <c r="CP41" i="19"/>
  <c r="T48" i="19"/>
  <c r="AA36" i="19"/>
  <c r="AB36" i="19" s="1"/>
  <c r="CP22" i="19"/>
  <c r="BQ22" i="19"/>
  <c r="DJ51" i="19"/>
  <c r="T40" i="19"/>
  <c r="T34" i="19"/>
  <c r="T54" i="19"/>
  <c r="DJ45" i="19"/>
  <c r="T31" i="19"/>
  <c r="DJ31" i="19"/>
  <c r="DJ46" i="19"/>
  <c r="DJ34" i="19"/>
  <c r="T45" i="19"/>
  <c r="DJ26" i="19"/>
  <c r="T35" i="19"/>
  <c r="CV56" i="19"/>
  <c r="T43" i="19"/>
  <c r="AA47" i="19"/>
  <c r="AB47" i="19" s="1"/>
  <c r="DJ35" i="19"/>
  <c r="DJ44" i="19"/>
  <c r="DJ43" i="19"/>
  <c r="DJ54" i="19"/>
  <c r="T46" i="19"/>
  <c r="T25" i="19"/>
  <c r="DJ22" i="19"/>
  <c r="AA22" i="19" s="1"/>
  <c r="AB22" i="19" s="1"/>
  <c r="CP57" i="19"/>
  <c r="BQ51" i="19"/>
  <c r="T51" i="19"/>
  <c r="DJ48" i="19"/>
  <c r="T26" i="19"/>
  <c r="K4" i="27" s="1" a="1"/>
  <c r="K4" i="27" s="1"/>
  <c r="DJ25" i="19"/>
  <c r="DJ40" i="19"/>
  <c r="CP29" i="19"/>
  <c r="CV57" i="19"/>
  <c r="CV51" i="19"/>
  <c r="CP39" i="19"/>
  <c r="CH54" i="19" a="1"/>
  <c r="CH54" i="19" s="1"/>
  <c r="CI54" i="19" a="1"/>
  <c r="CI54" i="19" s="1"/>
  <c r="CE54" i="19" a="1"/>
  <c r="CE54" i="19" s="1"/>
  <c r="CF54" i="19" a="1"/>
  <c r="CF54" i="19" s="1"/>
  <c r="CG54" i="19" a="1"/>
  <c r="CG54" i="19" s="1"/>
  <c r="CH59" i="19" a="1"/>
  <c r="CH59" i="19" s="1"/>
  <c r="CI59" i="19" a="1"/>
  <c r="CI59" i="19" s="1"/>
  <c r="CF59" i="19" a="1"/>
  <c r="CF59" i="19" s="1"/>
  <c r="CG59" i="19" a="1"/>
  <c r="CG59" i="19" s="1"/>
  <c r="CE59" i="19" a="1"/>
  <c r="CE59" i="19" s="1"/>
  <c r="CF43" i="19" a="1"/>
  <c r="CF43" i="19" s="1"/>
  <c r="CG43" i="19" a="1"/>
  <c r="CG43" i="19" s="1"/>
  <c r="CH43" i="19" a="1"/>
  <c r="CH43" i="19" s="1"/>
  <c r="CI43" i="19" a="1"/>
  <c r="CI43" i="19" s="1"/>
  <c r="CE43" i="19" a="1"/>
  <c r="CE43" i="19" s="1"/>
  <c r="CE58" i="19" a="1"/>
  <c r="CE58" i="19" s="1"/>
  <c r="CF58" i="19" a="1"/>
  <c r="CF58" i="19" s="1"/>
  <c r="CG58" i="19" a="1"/>
  <c r="CG58" i="19" s="1"/>
  <c r="CH58" i="19" a="1"/>
  <c r="CH58" i="19" s="1"/>
  <c r="CI58" i="19" a="1"/>
  <c r="CI58" i="19" s="1"/>
  <c r="CE48" i="19" a="1"/>
  <c r="CE48" i="19" s="1"/>
  <c r="CF48" i="19" a="1"/>
  <c r="CF48" i="19" s="1"/>
  <c r="CG48" i="19" a="1"/>
  <c r="CG48" i="19" s="1"/>
  <c r="CH48" i="19" a="1"/>
  <c r="CH48" i="19" s="1"/>
  <c r="CI48" i="19" a="1"/>
  <c r="CI48" i="19" s="1"/>
  <c r="CF46" i="19" a="1"/>
  <c r="CF46" i="19" s="1"/>
  <c r="CG46" i="19" a="1"/>
  <c r="CG46" i="19" s="1"/>
  <c r="CH46" i="19" a="1"/>
  <c r="CH46" i="19" s="1"/>
  <c r="CI46" i="19" a="1"/>
  <c r="CI46" i="19" s="1"/>
  <c r="CE46" i="19" a="1"/>
  <c r="CE46" i="19" s="1"/>
  <c r="A22" i="33"/>
  <c r="S21" i="33"/>
  <c r="R21" i="33"/>
  <c r="U21" i="33"/>
  <c r="G22" i="33"/>
  <c r="T22" i="33" s="1"/>
  <c r="B22" i="33"/>
  <c r="J23" i="33"/>
  <c r="K23" i="33"/>
  <c r="H23" i="33" s="1" a="1"/>
  <c r="H23" i="33" s="1"/>
  <c r="O23" i="33"/>
  <c r="P23" i="33"/>
  <c r="M23" i="33" s="1" a="1"/>
  <c r="M23" i="33" s="1"/>
  <c r="CJ44" i="19"/>
  <c r="CJ47" i="19"/>
  <c r="CJ36" i="19"/>
  <c r="CJ42" i="19"/>
  <c r="CJ26" i="19"/>
  <c r="CJ56" i="19"/>
  <c r="CJ45" i="19"/>
  <c r="CJ31" i="19"/>
  <c r="CJ49" i="19"/>
  <c r="CJ24" i="19"/>
  <c r="CJ60" i="19"/>
  <c r="CJ40" i="19"/>
  <c r="CJ57" i="19"/>
  <c r="CJ52" i="19"/>
  <c r="CJ53" i="19"/>
  <c r="CJ41" i="19"/>
  <c r="CJ34" i="19"/>
  <c r="CJ51" i="19"/>
  <c r="CJ35" i="19"/>
  <c r="CJ61" i="19"/>
  <c r="CJ38" i="19"/>
  <c r="CJ55" i="19"/>
  <c r="CJ50" i="19"/>
  <c r="CJ25" i="19"/>
  <c r="CJ62" i="19"/>
  <c r="CJ23" i="19"/>
  <c r="F33" i="27" a="1"/>
  <c r="F33" i="27" s="1"/>
  <c r="A33" i="27" a="1"/>
  <c r="A33" i="27" s="1"/>
  <c r="O33" i="27" a="1"/>
  <c r="O33" i="27" s="1"/>
  <c r="C33" i="27"/>
  <c r="D33" i="27"/>
  <c r="J33" i="27" a="1"/>
  <c r="J33" i="27" s="1"/>
  <c r="G33" i="27" a="1"/>
  <c r="G33" i="27" s="1"/>
  <c r="H33" i="27" a="1"/>
  <c r="H33" i="27" s="1"/>
  <c r="I33" i="27" a="1"/>
  <c r="I33" i="27" s="1"/>
  <c r="D39" i="27"/>
  <c r="F19" i="27" a="1"/>
  <c r="F19" i="27" s="1"/>
  <c r="A19" i="27" a="1"/>
  <c r="A19" i="27" s="1"/>
  <c r="A39" i="27" a="1"/>
  <c r="A39" i="27" s="1"/>
  <c r="C19" i="27"/>
  <c r="D19" i="27"/>
  <c r="B16" i="27"/>
  <c r="J16" i="27" a="1"/>
  <c r="J16" i="27" s="1"/>
  <c r="I16" i="27" a="1"/>
  <c r="I16" i="27" s="1"/>
  <c r="H16" i="27" a="1"/>
  <c r="H16" i="27" s="1"/>
  <c r="G16" i="27" a="1"/>
  <c r="G16" i="27" s="1"/>
  <c r="B7" i="27"/>
  <c r="J7" i="27" a="1"/>
  <c r="J7" i="27" s="1"/>
  <c r="H7" i="27" a="1"/>
  <c r="H7" i="27" s="1"/>
  <c r="I7" i="27" a="1"/>
  <c r="I7" i="27" s="1"/>
  <c r="G7" i="27" a="1"/>
  <c r="G7" i="27" s="1"/>
  <c r="B42" i="27"/>
  <c r="I42" i="27" a="1"/>
  <c r="I42" i="27" s="1"/>
  <c r="H42" i="27" a="1"/>
  <c r="H42" i="27" s="1"/>
  <c r="G42" i="27" a="1"/>
  <c r="G42" i="27" s="1"/>
  <c r="J42" i="27" a="1"/>
  <c r="J42" i="27" s="1"/>
  <c r="B41" i="27"/>
  <c r="I41" i="27" a="1"/>
  <c r="I41" i="27" s="1"/>
  <c r="H41" i="27" a="1"/>
  <c r="H41" i="27" s="1"/>
  <c r="G41" i="27" a="1"/>
  <c r="G41" i="27" s="1"/>
  <c r="J41" i="27" a="1"/>
  <c r="J41" i="27" s="1"/>
  <c r="B19" i="27"/>
  <c r="J19" i="27" a="1"/>
  <c r="J19" i="27" s="1"/>
  <c r="I19" i="27" a="1"/>
  <c r="I19" i="27" s="1"/>
  <c r="H19" i="27" a="1"/>
  <c r="H19" i="27" s="1"/>
  <c r="G19" i="27" a="1"/>
  <c r="G19" i="27" s="1"/>
  <c r="B12" i="27"/>
  <c r="J12" i="27" a="1"/>
  <c r="J12" i="27" s="1"/>
  <c r="H12" i="27" a="1"/>
  <c r="H12" i="27" s="1"/>
  <c r="I12" i="27" a="1"/>
  <c r="I12" i="27" s="1"/>
  <c r="G12" i="27" a="1"/>
  <c r="G12" i="27" s="1"/>
  <c r="B27" i="27"/>
  <c r="J27" i="27" a="1"/>
  <c r="J27" i="27" s="1"/>
  <c r="I27" i="27" a="1"/>
  <c r="I27" i="27" s="1"/>
  <c r="H27" i="27" a="1"/>
  <c r="H27" i="27" s="1"/>
  <c r="G27" i="27" a="1"/>
  <c r="G27" i="27" s="1"/>
  <c r="B6" i="27"/>
  <c r="J6" i="27" a="1"/>
  <c r="J6" i="27" s="1"/>
  <c r="I6" i="27" a="1"/>
  <c r="I6" i="27" s="1"/>
  <c r="H6" i="27" a="1"/>
  <c r="H6" i="27" s="1"/>
  <c r="G6" i="27" a="1"/>
  <c r="G6" i="27" s="1"/>
  <c r="B9" i="27"/>
  <c r="J9" i="27" a="1"/>
  <c r="J9" i="27" s="1"/>
  <c r="H9" i="27" a="1"/>
  <c r="H9" i="27" s="1"/>
  <c r="I9" i="27" a="1"/>
  <c r="I9" i="27" s="1"/>
  <c r="G9" i="27" a="1"/>
  <c r="G9" i="27" s="1"/>
  <c r="B13" i="27"/>
  <c r="I13" i="27" a="1"/>
  <c r="I13" i="27" s="1"/>
  <c r="G13" i="27" a="1"/>
  <c r="G13" i="27" s="1"/>
  <c r="J13" i="27" a="1"/>
  <c r="J13" i="27" s="1"/>
  <c r="H13" i="27" a="1"/>
  <c r="H13" i="27" s="1"/>
  <c r="B4" i="27"/>
  <c r="J4" i="27" a="1"/>
  <c r="J4" i="27" s="1"/>
  <c r="H4" i="27" a="1"/>
  <c r="H4" i="27" s="1"/>
  <c r="I4" i="27" a="1"/>
  <c r="I4" i="27" s="1"/>
  <c r="G4" i="27" a="1"/>
  <c r="G4" i="27" s="1"/>
  <c r="B31" i="27"/>
  <c r="I31" i="27" a="1"/>
  <c r="I31" i="27" s="1"/>
  <c r="H31" i="27" a="1"/>
  <c r="H31" i="27" s="1"/>
  <c r="G31" i="27" a="1"/>
  <c r="G31" i="27" s="1"/>
  <c r="J31" i="27" a="1"/>
  <c r="J31" i="27" s="1"/>
  <c r="B20" i="27"/>
  <c r="J20" i="27" a="1"/>
  <c r="J20" i="27" s="1"/>
  <c r="I20" i="27" a="1"/>
  <c r="I20" i="27" s="1"/>
  <c r="H20" i="27" a="1"/>
  <c r="H20" i="27" s="1"/>
  <c r="G20" i="27" a="1"/>
  <c r="G20" i="27" s="1"/>
  <c r="B32" i="27"/>
  <c r="I32" i="27" a="1"/>
  <c r="I32" i="27" s="1"/>
  <c r="H32" i="27" a="1"/>
  <c r="H32" i="27" s="1"/>
  <c r="G32" i="27" a="1"/>
  <c r="G32" i="27" s="1"/>
  <c r="J32" i="27" a="1"/>
  <c r="J32" i="27" s="1"/>
  <c r="B23" i="27"/>
  <c r="I23" i="27" a="1"/>
  <c r="I23" i="27" s="1"/>
  <c r="H23" i="27" a="1"/>
  <c r="H23" i="27" s="1"/>
  <c r="G23" i="27" a="1"/>
  <c r="G23" i="27" s="1"/>
  <c r="J23" i="27" a="1"/>
  <c r="J23" i="27" s="1"/>
  <c r="B18" i="27"/>
  <c r="J18" i="27" a="1"/>
  <c r="J18" i="27" s="1"/>
  <c r="I18" i="27" a="1"/>
  <c r="I18" i="27" s="1"/>
  <c r="H18" i="27" a="1"/>
  <c r="H18" i="27" s="1"/>
  <c r="G18" i="27" a="1"/>
  <c r="G18" i="27" s="1"/>
  <c r="B10" i="27"/>
  <c r="J10" i="27" a="1"/>
  <c r="J10" i="27" s="1"/>
  <c r="H10" i="27" a="1"/>
  <c r="H10" i="27" s="1"/>
  <c r="I10" i="27" a="1"/>
  <c r="I10" i="27" s="1"/>
  <c r="G10" i="27" a="1"/>
  <c r="G10" i="27" s="1"/>
  <c r="B3" i="27"/>
  <c r="J3" i="27" a="1"/>
  <c r="J3" i="27" s="1"/>
  <c r="H3" i="27" a="1"/>
  <c r="H3" i="27" s="1"/>
  <c r="G3" i="27" a="1"/>
  <c r="G3" i="27" s="1"/>
  <c r="I3" i="27" a="1"/>
  <c r="I3" i="27" s="1"/>
  <c r="B25" i="27"/>
  <c r="I25" i="27" a="1"/>
  <c r="I25" i="27" s="1"/>
  <c r="H25" i="27" a="1"/>
  <c r="H25" i="27" s="1"/>
  <c r="G25" i="27" a="1"/>
  <c r="G25" i="27" s="1"/>
  <c r="J25" i="27" a="1"/>
  <c r="J25" i="27" s="1"/>
  <c r="B29" i="27"/>
  <c r="G29" i="27" a="1"/>
  <c r="G29" i="27" s="1"/>
  <c r="J29" i="27" a="1"/>
  <c r="J29" i="27" s="1"/>
  <c r="I29" i="27" a="1"/>
  <c r="I29" i="27" s="1"/>
  <c r="H29" i="27" a="1"/>
  <c r="H29" i="27" s="1"/>
  <c r="B36" i="27"/>
  <c r="J36" i="27" a="1"/>
  <c r="J36" i="27" s="1"/>
  <c r="I36" i="27" a="1"/>
  <c r="I36" i="27" s="1"/>
  <c r="H36" i="27" a="1"/>
  <c r="H36" i="27" s="1"/>
  <c r="G36" i="27" a="1"/>
  <c r="G36" i="27" s="1"/>
  <c r="B8" i="27"/>
  <c r="J8" i="27" a="1"/>
  <c r="J8" i="27" s="1"/>
  <c r="H8" i="27" a="1"/>
  <c r="H8" i="27" s="1"/>
  <c r="I8" i="27" a="1"/>
  <c r="I8" i="27" s="1"/>
  <c r="G8" i="27" a="1"/>
  <c r="G8" i="27" s="1"/>
  <c r="B30" i="27"/>
  <c r="I30" i="27" a="1"/>
  <c r="I30" i="27" s="1"/>
  <c r="H30" i="27" a="1"/>
  <c r="H30" i="27" s="1"/>
  <c r="G30" i="27" a="1"/>
  <c r="G30" i="27" s="1"/>
  <c r="J30" i="27" a="1"/>
  <c r="J30" i="27" s="1"/>
  <c r="B38" i="27"/>
  <c r="I38" i="27" a="1"/>
  <c r="I38" i="27" s="1"/>
  <c r="H38" i="27" a="1"/>
  <c r="H38" i="27" s="1"/>
  <c r="G38" i="27" a="1"/>
  <c r="G38" i="27" s="1"/>
  <c r="J38" i="27" a="1"/>
  <c r="J38" i="27" s="1"/>
  <c r="B17" i="27"/>
  <c r="J17" i="27" a="1"/>
  <c r="J17" i="27" s="1"/>
  <c r="I17" i="27" a="1"/>
  <c r="I17" i="27" s="1"/>
  <c r="H17" i="27" a="1"/>
  <c r="H17" i="27" s="1"/>
  <c r="G17" i="27" a="1"/>
  <c r="G17" i="27" s="1"/>
  <c r="B34" i="27"/>
  <c r="I34" i="27" a="1"/>
  <c r="I34" i="27" s="1"/>
  <c r="H34" i="27" a="1"/>
  <c r="H34" i="27" s="1"/>
  <c r="G34" i="27" a="1"/>
  <c r="G34" i="27" s="1"/>
  <c r="J34" i="27" a="1"/>
  <c r="J34" i="27" s="1"/>
  <c r="B11" i="27"/>
  <c r="J11" i="27" a="1"/>
  <c r="J11" i="27" s="1"/>
  <c r="H11" i="27" a="1"/>
  <c r="H11" i="27" s="1"/>
  <c r="I11" i="27" a="1"/>
  <c r="I11" i="27" s="1"/>
  <c r="G11" i="27" a="1"/>
  <c r="G11" i="27" s="1"/>
  <c r="B2" i="27"/>
  <c r="J2" i="27" a="1"/>
  <c r="J2" i="27" s="1"/>
  <c r="H2" i="27" a="1"/>
  <c r="H2" i="27" s="1"/>
  <c r="G2" i="27" a="1"/>
  <c r="G2" i="27" s="1"/>
  <c r="I2" i="27" a="1"/>
  <c r="I2" i="27" s="1"/>
  <c r="B37" i="27"/>
  <c r="J37" i="27" a="1"/>
  <c r="J37" i="27" s="1"/>
  <c r="I37" i="27" a="1"/>
  <c r="I37" i="27" s="1"/>
  <c r="H37" i="27" a="1"/>
  <c r="H37" i="27" s="1"/>
  <c r="G37" i="27" a="1"/>
  <c r="G37" i="27" s="1"/>
  <c r="B15" i="27"/>
  <c r="H15" i="27" a="1"/>
  <c r="H15" i="27" s="1"/>
  <c r="I15" i="27" a="1"/>
  <c r="I15" i="27" s="1"/>
  <c r="G15" i="27" a="1"/>
  <c r="G15" i="27" s="1"/>
  <c r="J15" i="27" a="1"/>
  <c r="J15" i="27" s="1"/>
  <c r="B39" i="27"/>
  <c r="I39" i="27" a="1"/>
  <c r="I39" i="27" s="1"/>
  <c r="H39" i="27" a="1"/>
  <c r="H39" i="27" s="1"/>
  <c r="G39" i="27" a="1"/>
  <c r="G39" i="27" s="1"/>
  <c r="J39" i="27" a="1"/>
  <c r="J39" i="27" s="1"/>
  <c r="B21" i="27"/>
  <c r="G21" i="27" a="1"/>
  <c r="G21" i="27" s="1"/>
  <c r="J21" i="27" a="1"/>
  <c r="J21" i="27" s="1"/>
  <c r="I21" i="27" a="1"/>
  <c r="I21" i="27" s="1"/>
  <c r="H21" i="27" a="1"/>
  <c r="H21" i="27" s="1"/>
  <c r="B14" i="27"/>
  <c r="H14" i="27" a="1"/>
  <c r="H14" i="27" s="1"/>
  <c r="I14" i="27" a="1"/>
  <c r="I14" i="27" s="1"/>
  <c r="G14" i="27" a="1"/>
  <c r="G14" i="27" s="1"/>
  <c r="J14" i="27" a="1"/>
  <c r="J14" i="27" s="1"/>
  <c r="B24" i="27"/>
  <c r="I24" i="27" a="1"/>
  <c r="I24" i="27" s="1"/>
  <c r="H24" i="27" a="1"/>
  <c r="H24" i="27" s="1"/>
  <c r="G24" i="27" a="1"/>
  <c r="G24" i="27" s="1"/>
  <c r="J24" i="27" a="1"/>
  <c r="J24" i="27" s="1"/>
  <c r="B22" i="27"/>
  <c r="I22" i="27" a="1"/>
  <c r="I22" i="27" s="1"/>
  <c r="H22" i="27" a="1"/>
  <c r="H22" i="27" s="1"/>
  <c r="G22" i="27" a="1"/>
  <c r="G22" i="27" s="1"/>
  <c r="J22" i="27" a="1"/>
  <c r="J22" i="27" s="1"/>
  <c r="B28" i="27"/>
  <c r="J28" i="27" a="1"/>
  <c r="J28" i="27" s="1"/>
  <c r="I28" i="27" a="1"/>
  <c r="I28" i="27" s="1"/>
  <c r="H28" i="27" a="1"/>
  <c r="H28" i="27" s="1"/>
  <c r="G28" i="27" a="1"/>
  <c r="G28" i="27" s="1"/>
  <c r="B26" i="27"/>
  <c r="J26" i="27" a="1"/>
  <c r="J26" i="27" s="1"/>
  <c r="I26" i="27" a="1"/>
  <c r="I26" i="27" s="1"/>
  <c r="H26" i="27" a="1"/>
  <c r="H26" i="27" s="1"/>
  <c r="G26" i="27" a="1"/>
  <c r="G26" i="27" s="1"/>
  <c r="B5" i="27"/>
  <c r="I5" i="27" a="1"/>
  <c r="I5" i="27" s="1"/>
  <c r="G5" i="27" a="1"/>
  <c r="G5" i="27" s="1"/>
  <c r="J5" i="27" a="1"/>
  <c r="J5" i="27" s="1"/>
  <c r="H5" i="27" a="1"/>
  <c r="H5" i="27" s="1"/>
  <c r="B40" i="27"/>
  <c r="I40" i="27" a="1"/>
  <c r="I40" i="27" s="1"/>
  <c r="H40" i="27" a="1"/>
  <c r="H40" i="27" s="1"/>
  <c r="G40" i="27" a="1"/>
  <c r="G40" i="27" s="1"/>
  <c r="J40" i="27" a="1"/>
  <c r="J40" i="27" s="1"/>
  <c r="B35" i="27"/>
  <c r="I35" i="27" a="1"/>
  <c r="I35" i="27" s="1"/>
  <c r="H35" i="27" a="1"/>
  <c r="H35" i="27" s="1"/>
  <c r="G35" i="27" a="1"/>
  <c r="G35" i="27" s="1"/>
  <c r="J35" i="27" a="1"/>
  <c r="J35" i="27" s="1"/>
  <c r="F39" i="27" a="1"/>
  <c r="F39" i="27" s="1"/>
  <c r="C34" i="27"/>
  <c r="O34" i="27" a="1"/>
  <c r="O34" i="27" s="1"/>
  <c r="A34" i="27" a="1"/>
  <c r="A34" i="27" s="1"/>
  <c r="F38" i="27" a="1"/>
  <c r="F38" i="27" s="1"/>
  <c r="C35" i="27"/>
  <c r="F8" i="27" a="1"/>
  <c r="F8" i="27" s="1"/>
  <c r="O40" i="27" a="1"/>
  <c r="O40" i="27" s="1"/>
  <c r="O22" i="27" a="1"/>
  <c r="O22" i="27" s="1"/>
  <c r="A36" i="27" a="1"/>
  <c r="A36" i="27" s="1"/>
  <c r="D35" i="27"/>
  <c r="A10" i="27" a="1"/>
  <c r="A10" i="27" s="1"/>
  <c r="D27" i="27"/>
  <c r="O31" i="27" a="1"/>
  <c r="O31" i="27" s="1"/>
  <c r="C22" i="27"/>
  <c r="F27" i="27" a="1"/>
  <c r="F27" i="27" s="1"/>
  <c r="C15" i="27"/>
  <c r="A15" i="27" a="1"/>
  <c r="A15" i="27" s="1"/>
  <c r="F36" i="27" a="1"/>
  <c r="F36" i="27" s="1"/>
  <c r="O39" i="27" a="1"/>
  <c r="O39" i="27" s="1"/>
  <c r="F10" i="27" a="1"/>
  <c r="F10" i="27" s="1"/>
  <c r="F40" i="27" a="1"/>
  <c r="F40" i="27" s="1"/>
  <c r="C27" i="27"/>
  <c r="D31" i="27"/>
  <c r="A38" i="27" a="1"/>
  <c r="A38" i="27" s="1"/>
  <c r="A8" i="27" a="1"/>
  <c r="A8" i="27" s="1"/>
  <c r="C36" i="27"/>
  <c r="A12" i="27" a="1"/>
  <c r="A12" i="27" s="1"/>
  <c r="F12" i="27" a="1"/>
  <c r="F12" i="27" s="1"/>
  <c r="O12" i="27" a="1"/>
  <c r="O12" i="27" s="1"/>
  <c r="O24" i="27" a="1"/>
  <c r="O24" i="27" s="1"/>
  <c r="D36" i="27"/>
  <c r="F24" i="27" a="1"/>
  <c r="F24" i="27" s="1"/>
  <c r="D10" i="27"/>
  <c r="A14" i="27" a="1"/>
  <c r="A14" i="27" s="1"/>
  <c r="C31" i="27"/>
  <c r="C10" i="27"/>
  <c r="A27" i="27" a="1"/>
  <c r="A27" i="27" s="1"/>
  <c r="F31" i="27" a="1"/>
  <c r="F31" i="27" s="1"/>
  <c r="O17" i="27" a="1"/>
  <c r="O17" i="27" s="1"/>
  <c r="A17" i="27" a="1"/>
  <c r="A17" i="27" s="1"/>
  <c r="D17" i="27"/>
  <c r="F17" i="27" a="1"/>
  <c r="F17" i="27" s="1"/>
  <c r="C8" i="27"/>
  <c r="A22" i="27" a="1"/>
  <c r="A22" i="27" s="1"/>
  <c r="F35" i="27" a="1"/>
  <c r="F35" i="27" s="1"/>
  <c r="O35" i="27" a="1"/>
  <c r="O35" i="27" s="1"/>
  <c r="F22" i="27" a="1"/>
  <c r="F22" i="27" s="1"/>
  <c r="D22" i="27"/>
  <c r="D12" i="27"/>
  <c r="A28" i="27" a="1"/>
  <c r="A28" i="27" s="1"/>
  <c r="F41" i="27" a="1"/>
  <c r="F41" i="27" s="1"/>
  <c r="D41" i="27"/>
  <c r="A41" i="27" a="1"/>
  <c r="A41" i="27" s="1"/>
  <c r="F34" i="27" a="1"/>
  <c r="F34" i="27" s="1"/>
  <c r="A31" i="27" a="1"/>
  <c r="A31" i="27" s="1"/>
  <c r="O27" i="27" a="1"/>
  <c r="O27" i="27" s="1"/>
  <c r="D34" i="27"/>
  <c r="C12" i="27"/>
  <c r="O36" i="27" a="1"/>
  <c r="O36" i="27" s="1"/>
  <c r="D24" i="27"/>
  <c r="C41" i="27"/>
  <c r="C5" i="27"/>
  <c r="F5" i="27" a="1"/>
  <c r="F5" i="27" s="1"/>
  <c r="A5" i="27" a="1"/>
  <c r="A5" i="27" s="1"/>
  <c r="O14" i="27" a="1"/>
  <c r="O14" i="27" s="1"/>
  <c r="C24" i="27"/>
  <c r="A24" i="27" a="1"/>
  <c r="A24" i="27" s="1"/>
  <c r="O41" i="27" a="1"/>
  <c r="O41" i="27" s="1"/>
  <c r="D8" i="27"/>
  <c r="C37" i="27"/>
  <c r="C17" i="27"/>
  <c r="A40" i="27" a="1"/>
  <c r="A40" i="27" s="1"/>
  <c r="C40" i="27"/>
  <c r="D15" i="27"/>
  <c r="F28" i="27" a="1"/>
  <c r="F28" i="27" s="1"/>
  <c r="A18" i="27" a="1"/>
  <c r="A18" i="27" s="1"/>
  <c r="F18" i="27" a="1"/>
  <c r="F18" i="27" s="1"/>
  <c r="C18" i="27"/>
  <c r="O18" i="27" a="1"/>
  <c r="O18" i="27" s="1"/>
  <c r="C4" i="27"/>
  <c r="D38" i="27"/>
  <c r="A4" i="27" a="1"/>
  <c r="A4" i="27" s="1"/>
  <c r="D4" i="27"/>
  <c r="A20" i="27" a="1"/>
  <c r="A20" i="27" s="1"/>
  <c r="D42" i="27"/>
  <c r="D20" i="27"/>
  <c r="F20" i="27" a="1"/>
  <c r="F20" i="27" s="1"/>
  <c r="D28" i="27"/>
  <c r="O15" i="27" a="1"/>
  <c r="O15" i="27" s="1"/>
  <c r="D18" i="27"/>
  <c r="C28" i="27"/>
  <c r="D29" i="27"/>
  <c r="O28" i="27" a="1"/>
  <c r="O28" i="27" s="1"/>
  <c r="F42" i="27" a="1"/>
  <c r="F42" i="27" s="1"/>
  <c r="C13" i="27"/>
  <c r="D13" i="27"/>
  <c r="C20" i="27"/>
  <c r="C42" i="27"/>
  <c r="A42" i="27" a="1"/>
  <c r="A42" i="27" s="1"/>
  <c r="F4" i="27" a="1"/>
  <c r="F4" i="27" s="1"/>
  <c r="O42" i="27" a="1"/>
  <c r="O42" i="27" s="1"/>
  <c r="C14" i="27"/>
  <c r="O20" i="27" a="1"/>
  <c r="O20" i="27" s="1"/>
  <c r="D14" i="27"/>
  <c r="D37" i="27"/>
  <c r="C38" i="27"/>
  <c r="A37" i="27" a="1"/>
  <c r="A37" i="27" s="1"/>
  <c r="F14" i="27" a="1"/>
  <c r="F14" i="27" s="1"/>
  <c r="A13" i="27" a="1"/>
  <c r="A13" i="27" s="1"/>
  <c r="O37" i="27" a="1"/>
  <c r="O37" i="27" s="1"/>
  <c r="F13" i="27" a="1"/>
  <c r="F13" i="27" s="1"/>
  <c r="F29" i="27" a="1"/>
  <c r="F29" i="27" s="1"/>
  <c r="O38" i="27" a="1"/>
  <c r="O38" i="27" s="1"/>
  <c r="D5" i="27"/>
  <c r="A23" i="27" a="1"/>
  <c r="A23" i="27" s="1"/>
  <c r="F37" i="27" a="1"/>
  <c r="F37" i="27" s="1"/>
  <c r="O29" i="27" a="1"/>
  <c r="O29" i="27" s="1"/>
  <c r="C29" i="27"/>
  <c r="F23" i="27" a="1"/>
  <c r="F23" i="27" s="1"/>
  <c r="A29" i="27" a="1"/>
  <c r="A29" i="27" s="1"/>
  <c r="O23" i="27" a="1"/>
  <c r="O23" i="27" s="1"/>
  <c r="F21" i="27" a="1"/>
  <c r="F21" i="27" s="1"/>
  <c r="D23" i="27"/>
  <c r="A7" i="27" a="1"/>
  <c r="A7" i="27" s="1"/>
  <c r="O13" i="27" a="1"/>
  <c r="O13" i="27" s="1"/>
  <c r="C23" i="27"/>
  <c r="D26" i="27"/>
  <c r="A9" i="27" a="1"/>
  <c r="A9" i="27" s="1"/>
  <c r="A16" i="27" a="1"/>
  <c r="A16" i="27" s="1"/>
  <c r="F3" i="27" a="1"/>
  <c r="F3" i="27" s="1"/>
  <c r="F9" i="27" a="1"/>
  <c r="F9" i="27" s="1"/>
  <c r="F26" i="27" a="1"/>
  <c r="F26" i="27" s="1"/>
  <c r="A21" i="27" a="1"/>
  <c r="A21" i="27" s="1"/>
  <c r="D9" i="27"/>
  <c r="F16" i="27" a="1"/>
  <c r="F16" i="27" s="1"/>
  <c r="O16" i="27" a="1"/>
  <c r="O16" i="27" s="1"/>
  <c r="C7" i="27"/>
  <c r="F7" i="27" a="1"/>
  <c r="F7" i="27" s="1"/>
  <c r="D7" i="27"/>
  <c r="A30" i="27" a="1"/>
  <c r="A30" i="27" s="1"/>
  <c r="A26" i="27" a="1"/>
  <c r="A26" i="27" s="1"/>
  <c r="F6" i="27" a="1"/>
  <c r="F6" i="27" s="1"/>
  <c r="A11" i="27" a="1"/>
  <c r="A11" i="27" s="1"/>
  <c r="F11" i="27" a="1"/>
  <c r="F11" i="27" s="1"/>
  <c r="A6" i="27" a="1"/>
  <c r="A6" i="27" s="1"/>
  <c r="D16" i="27"/>
  <c r="A2" i="27" a="1"/>
  <c r="A2" i="27" s="1"/>
  <c r="F30" i="27" a="1"/>
  <c r="F30" i="27" s="1"/>
  <c r="D30" i="27"/>
  <c r="F25" i="27" a="1"/>
  <c r="F25" i="27" s="1"/>
  <c r="C30" i="27"/>
  <c r="C21" i="27"/>
  <c r="C9" i="27"/>
  <c r="C2" i="27"/>
  <c r="D2" i="27"/>
  <c r="F2" i="27" a="1"/>
  <c r="F2" i="27" s="1"/>
  <c r="C3" i="27"/>
  <c r="A3" i="27" a="1"/>
  <c r="A3" i="27" s="1"/>
  <c r="O21" i="27" a="1"/>
  <c r="O21" i="27" s="1"/>
  <c r="O32" i="27" a="1"/>
  <c r="O32" i="27" s="1"/>
  <c r="D3" i="27"/>
  <c r="F32" i="27" a="1"/>
  <c r="F32" i="27" s="1"/>
  <c r="O30" i="27" a="1"/>
  <c r="O30" i="27" s="1"/>
  <c r="C26" i="27"/>
  <c r="O26" i="27" a="1"/>
  <c r="O26" i="27" s="1"/>
  <c r="O11" i="27" a="1"/>
  <c r="O11" i="27" s="1"/>
  <c r="C16" i="27"/>
  <c r="D21" i="27"/>
  <c r="A32" i="27" a="1"/>
  <c r="A32" i="27" s="1"/>
  <c r="C25" i="27"/>
  <c r="D11" i="27"/>
  <c r="C32" i="27"/>
  <c r="D32" i="27"/>
  <c r="D25" i="27"/>
  <c r="A25" i="27" a="1"/>
  <c r="A25" i="27" s="1"/>
  <c r="C6" i="27"/>
  <c r="D6" i="27"/>
  <c r="O25" i="27" a="1"/>
  <c r="O25" i="27" s="1"/>
  <c r="C11" i="27"/>
  <c r="Q23" i="32"/>
  <c r="T23" i="32" s="1"/>
  <c r="AB45" i="30"/>
  <c r="AE45" i="30" s="1"/>
  <c r="AF45" i="30" s="1"/>
  <c r="AU33" i="19"/>
  <c r="K5" i="27" l="1" a="1"/>
  <c r="K5" i="27" s="1"/>
  <c r="K8" i="27" a="1"/>
  <c r="K8" i="27" s="1"/>
  <c r="K3" i="27" a="1"/>
  <c r="K3" i="27" s="1"/>
  <c r="AU47" i="19"/>
  <c r="AE30" i="19"/>
  <c r="AE27" i="19"/>
  <c r="AU36" i="19"/>
  <c r="AA29" i="19"/>
  <c r="AB29" i="19" s="1"/>
  <c r="AA39" i="19"/>
  <c r="AB39" i="19" s="1"/>
  <c r="AA26" i="19"/>
  <c r="AB26" i="19" s="1"/>
  <c r="AA25" i="19"/>
  <c r="AB25" i="19" s="1"/>
  <c r="G10" i="39"/>
  <c r="AE45" i="19"/>
  <c r="G2" i="39"/>
  <c r="AE40" i="19"/>
  <c r="E7" i="46" a="1"/>
  <c r="E7" i="46" s="1"/>
  <c r="E6" i="46" a="1"/>
  <c r="E6" i="46" s="1"/>
  <c r="E5" i="46" a="1"/>
  <c r="E5" i="46" s="1"/>
  <c r="E2" i="46" a="1"/>
  <c r="E2" i="46" s="1"/>
  <c r="E3" i="46" a="1"/>
  <c r="E3" i="46" s="1"/>
  <c r="E4" i="46" a="1"/>
  <c r="E4" i="46" s="1"/>
  <c r="A23" i="33"/>
  <c r="E6" i="44" a="1"/>
  <c r="E6" i="44" s="1"/>
  <c r="E7" i="44" a="1"/>
  <c r="E7" i="44" s="1"/>
  <c r="E3" i="44" a="1"/>
  <c r="E3" i="44" s="1"/>
  <c r="E5" i="44" a="1"/>
  <c r="E5" i="44" s="1"/>
  <c r="E2" i="44" a="1"/>
  <c r="E2" i="44" s="1"/>
  <c r="E4" i="44" a="1"/>
  <c r="E4" i="44" s="1"/>
  <c r="U22" i="33"/>
  <c r="R22" i="33"/>
  <c r="S22" i="33"/>
  <c r="B23" i="33"/>
  <c r="G23" i="33"/>
  <c r="S23" i="33" s="1"/>
  <c r="CJ58" i="19"/>
  <c r="CJ54" i="19"/>
  <c r="CJ46" i="19"/>
  <c r="CJ59" i="19"/>
  <c r="CJ48" i="19"/>
  <c r="CJ43" i="19"/>
  <c r="J14" i="39" a="1"/>
  <c r="J14" i="39" s="1"/>
  <c r="AG33" i="19"/>
  <c r="AF33" i="19"/>
  <c r="AA45" i="30" a="1"/>
  <c r="AA45" i="30" s="1"/>
  <c r="V23" i="32"/>
  <c r="U23" i="32"/>
  <c r="AU37" i="19"/>
  <c r="Q27" i="32"/>
  <c r="T27" i="32" s="1"/>
  <c r="AB57" i="30"/>
  <c r="AE57" i="30" s="1"/>
  <c r="AF57" i="30" s="1"/>
  <c r="Q18" i="32"/>
  <c r="T18" i="32" s="1"/>
  <c r="AU28" i="19"/>
  <c r="AB30" i="30"/>
  <c r="AE30" i="30" s="1"/>
  <c r="AF30" i="30" s="1"/>
  <c r="G7" i="39" l="1"/>
  <c r="AE47" i="19"/>
  <c r="AG47" i="19" s="1"/>
  <c r="AB36" i="30"/>
  <c r="AE36" i="30" s="1"/>
  <c r="AF36" i="30" s="1"/>
  <c r="AU30" i="19"/>
  <c r="Q20" i="32"/>
  <c r="T20" i="32" s="1"/>
  <c r="U20" i="32" s="1"/>
  <c r="AE36" i="19"/>
  <c r="AG36" i="19" s="1"/>
  <c r="AU27" i="19"/>
  <c r="AB27" i="30"/>
  <c r="AE27" i="30" s="1"/>
  <c r="AF27" i="30" s="1"/>
  <c r="G5" i="39"/>
  <c r="Q17" i="32"/>
  <c r="T17" i="32" s="1"/>
  <c r="V17" i="32" s="1"/>
  <c r="AU39" i="19"/>
  <c r="AE29" i="19"/>
  <c r="AE25" i="19"/>
  <c r="AE26" i="19"/>
  <c r="Q26" i="32"/>
  <c r="T26" i="32" s="1"/>
  <c r="AB54" i="30"/>
  <c r="AE54" i="30" s="1"/>
  <c r="AF54" i="30" s="1"/>
  <c r="Q37" i="32"/>
  <c r="T37" i="32" s="1"/>
  <c r="V37" i="32" s="1"/>
  <c r="AB87" i="30"/>
  <c r="AE87" i="30" s="1"/>
  <c r="AF87" i="30" s="1"/>
  <c r="G11" i="39"/>
  <c r="AE44" i="19"/>
  <c r="J12" i="39" s="1" a="1"/>
  <c r="J12" i="39" s="1"/>
  <c r="AE34" i="19"/>
  <c r="AE31" i="19"/>
  <c r="G8" i="39"/>
  <c r="AE22" i="19"/>
  <c r="AE35" i="19"/>
  <c r="H4" i="46" a="1"/>
  <c r="H4" i="46" s="1"/>
  <c r="F4" i="46" a="1"/>
  <c r="F4" i="46" s="1"/>
  <c r="I4" i="46" a="1"/>
  <c r="I4" i="46" s="1"/>
  <c r="G4" i="46" a="1"/>
  <c r="G4" i="46" s="1"/>
  <c r="F3" i="46" a="1"/>
  <c r="F3" i="46" s="1"/>
  <c r="I3" i="46" a="1"/>
  <c r="I3" i="46" s="1"/>
  <c r="H3" i="46" a="1"/>
  <c r="H3" i="46" s="1"/>
  <c r="G3" i="46" a="1"/>
  <c r="G3" i="46" s="1"/>
  <c r="I2" i="46" a="1"/>
  <c r="I2" i="46" s="1"/>
  <c r="G2" i="46" a="1"/>
  <c r="G2" i="46" s="1"/>
  <c r="H2" i="46" a="1"/>
  <c r="H2" i="46" s="1"/>
  <c r="F2" i="46" a="1"/>
  <c r="F2" i="46" s="1"/>
  <c r="H5" i="46" a="1"/>
  <c r="H5" i="46" s="1"/>
  <c r="F5" i="46" a="1"/>
  <c r="F5" i="46" s="1"/>
  <c r="I5" i="46" a="1"/>
  <c r="I5" i="46" s="1"/>
  <c r="G5" i="46" a="1"/>
  <c r="G5" i="46" s="1"/>
  <c r="H6" i="46" a="1"/>
  <c r="H6" i="46" s="1"/>
  <c r="F6" i="46" a="1"/>
  <c r="F6" i="46" s="1"/>
  <c r="I6" i="46" a="1"/>
  <c r="I6" i="46" s="1"/>
  <c r="G6" i="46" a="1"/>
  <c r="G6" i="46" s="1"/>
  <c r="H7" i="46" a="1"/>
  <c r="H7" i="46" s="1"/>
  <c r="I7" i="46" a="1"/>
  <c r="I7" i="46" s="1"/>
  <c r="G7" i="46" a="1"/>
  <c r="G7" i="46" s="1"/>
  <c r="F7" i="46" a="1"/>
  <c r="F7" i="46" s="1"/>
  <c r="T23" i="33"/>
  <c r="U23" i="33"/>
  <c r="R23" i="33"/>
  <c r="AA57" i="30" a="1"/>
  <c r="AA57" i="30" s="1"/>
  <c r="U27" i="32"/>
  <c r="V27" i="32"/>
  <c r="AF27" i="19"/>
  <c r="AG27" i="19"/>
  <c r="AA30" i="30" a="1"/>
  <c r="AA30" i="30" s="1"/>
  <c r="AF37" i="19"/>
  <c r="AG37" i="19"/>
  <c r="V18" i="32"/>
  <c r="U18" i="32"/>
  <c r="AF28" i="19"/>
  <c r="AG28" i="19"/>
  <c r="AF30" i="19"/>
  <c r="AG30" i="19"/>
  <c r="V20" i="32" l="1"/>
  <c r="AA36" i="30" a="1"/>
  <c r="AA36" i="30" s="1"/>
  <c r="AF47" i="19"/>
  <c r="AB63" i="30"/>
  <c r="AE63" i="30" s="1"/>
  <c r="AF63" i="30" s="1"/>
  <c r="AF36" i="19"/>
  <c r="G9" i="39"/>
  <c r="AU29" i="19"/>
  <c r="U37" i="32"/>
  <c r="AE39" i="19"/>
  <c r="AF39" i="19" s="1"/>
  <c r="Q19" i="32"/>
  <c r="T19" i="32" s="1"/>
  <c r="V19" i="32" s="1"/>
  <c r="G6" i="39"/>
  <c r="Q29" i="32"/>
  <c r="T29" i="32" s="1"/>
  <c r="U29" i="32" s="1"/>
  <c r="U17" i="32"/>
  <c r="AA27" i="30" a="1"/>
  <c r="AA27" i="30" s="1"/>
  <c r="G4" i="39"/>
  <c r="G3" i="39"/>
  <c r="AA54" i="30" a="1"/>
  <c r="AA54" i="30" s="1"/>
  <c r="AB33" i="30"/>
  <c r="AE33" i="30" s="1"/>
  <c r="AF33" i="30" s="1"/>
  <c r="AG29" i="19"/>
  <c r="AF29" i="19"/>
  <c r="U26" i="32"/>
  <c r="V26" i="32"/>
  <c r="AA87" i="30" a="1"/>
  <c r="AA87" i="30" s="1"/>
  <c r="AL23" i="19"/>
  <c r="AL33" i="19"/>
  <c r="AL43" i="19"/>
  <c r="AL53" i="19"/>
  <c r="AL63" i="19"/>
  <c r="AL24" i="19"/>
  <c r="AL34" i="19"/>
  <c r="AL44" i="19"/>
  <c r="AL54" i="19"/>
  <c r="AL22" i="19"/>
  <c r="AL25" i="19"/>
  <c r="AL35" i="19"/>
  <c r="AL45" i="19"/>
  <c r="AL55" i="19"/>
  <c r="AL26" i="19"/>
  <c r="AL36" i="19"/>
  <c r="AL46" i="19"/>
  <c r="AL56" i="19"/>
  <c r="AL27" i="19"/>
  <c r="AL37" i="19"/>
  <c r="AL47" i="19"/>
  <c r="AL57" i="19"/>
  <c r="AL28" i="19"/>
  <c r="AL38" i="19"/>
  <c r="AL48" i="19"/>
  <c r="AL58" i="19"/>
  <c r="AL29" i="19"/>
  <c r="AL39" i="19"/>
  <c r="AL49" i="19"/>
  <c r="AL59" i="19"/>
  <c r="AL30" i="19"/>
  <c r="AL40" i="19"/>
  <c r="AL50" i="19"/>
  <c r="AL60" i="19"/>
  <c r="AL32" i="19"/>
  <c r="AL42" i="19"/>
  <c r="AL52" i="19"/>
  <c r="AL62" i="19"/>
  <c r="AL31" i="19"/>
  <c r="AL41" i="19"/>
  <c r="AL51" i="19"/>
  <c r="AL61" i="19"/>
  <c r="AA63" i="30" l="1" a="1"/>
  <c r="AA63" i="30" s="1"/>
  <c r="U19" i="32"/>
  <c r="AG39" i="19"/>
  <c r="V29" i="32"/>
  <c r="AA33" i="30" a="1"/>
  <c r="AA33" i="30" s="1"/>
  <c r="S18" i="19"/>
  <c r="S64" i="19" s="1"/>
  <c r="AM20" i="19"/>
  <c r="AM63" i="19"/>
  <c r="B16" i="22" l="1"/>
  <c r="AN54" i="19"/>
  <c r="AN44" i="19"/>
  <c r="AN34" i="19"/>
  <c r="AN24" i="19"/>
  <c r="AN53" i="19"/>
  <c r="AN43" i="19"/>
  <c r="AN33" i="19"/>
  <c r="AN23" i="19"/>
  <c r="AN62" i="19"/>
  <c r="AN52" i="19"/>
  <c r="AN42" i="19"/>
  <c r="AN32" i="19"/>
  <c r="AN22" i="19"/>
  <c r="AN61" i="19"/>
  <c r="AN51" i="19"/>
  <c r="AN41" i="19"/>
  <c r="AN31" i="19"/>
  <c r="AN60" i="19"/>
  <c r="AN50" i="19"/>
  <c r="AN40" i="19"/>
  <c r="AN30" i="19"/>
  <c r="AN59" i="19"/>
  <c r="AN49" i="19"/>
  <c r="AN39" i="19"/>
  <c r="AN29" i="19"/>
  <c r="AN58" i="19"/>
  <c r="AN48" i="19"/>
  <c r="AN38" i="19"/>
  <c r="AN28" i="19"/>
  <c r="AN57" i="19"/>
  <c r="AN47" i="19"/>
  <c r="AN37" i="19"/>
  <c r="AN27" i="19"/>
  <c r="AN56" i="19"/>
  <c r="AN46" i="19"/>
  <c r="AN36" i="19"/>
  <c r="AN26" i="19"/>
  <c r="AN55" i="19"/>
  <c r="AN45" i="19"/>
  <c r="AN35" i="19"/>
  <c r="AN25" i="19"/>
  <c r="U18" i="19" l="1"/>
  <c r="B17" i="22" s="1"/>
  <c r="AN63" i="19" l="1"/>
  <c r="AO63" i="19" s="1"/>
  <c r="U64" i="19"/>
  <c r="AO20" i="19"/>
  <c r="AP53" i="19" l="1"/>
  <c r="AP43" i="19"/>
  <c r="AP33" i="19"/>
  <c r="AP23" i="19"/>
  <c r="AP62" i="19"/>
  <c r="AP52" i="19"/>
  <c r="AP42" i="19"/>
  <c r="AP32" i="19"/>
  <c r="AP22" i="19"/>
  <c r="AP61" i="19"/>
  <c r="AP51" i="19"/>
  <c r="AP41" i="19"/>
  <c r="AP31" i="19"/>
  <c r="AP60" i="19"/>
  <c r="AP50" i="19"/>
  <c r="AP40" i="19"/>
  <c r="AP30" i="19"/>
  <c r="AP59" i="19"/>
  <c r="AP49" i="19"/>
  <c r="AP39" i="19"/>
  <c r="AP29" i="19"/>
  <c r="AP58" i="19"/>
  <c r="AP48" i="19"/>
  <c r="AP38" i="19"/>
  <c r="AP28" i="19"/>
  <c r="AP57" i="19"/>
  <c r="AP47" i="19"/>
  <c r="AP37" i="19"/>
  <c r="AP27" i="19"/>
  <c r="AP56" i="19"/>
  <c r="AP46" i="19"/>
  <c r="AP36" i="19"/>
  <c r="AP26" i="19"/>
  <c r="AP55" i="19"/>
  <c r="AP45" i="19"/>
  <c r="AP35" i="19"/>
  <c r="AP25" i="19"/>
  <c r="AP54" i="19"/>
  <c r="AP44" i="19"/>
  <c r="AP34" i="19"/>
  <c r="AP24" i="19"/>
  <c r="W18" i="19" l="1"/>
  <c r="AP63" i="19" s="1"/>
  <c r="AQ63" i="19" s="1"/>
  <c r="W64" i="19" l="1"/>
  <c r="B18" i="22"/>
  <c r="AQ20" i="19"/>
  <c r="AR62" i="19" l="1"/>
  <c r="AR52" i="19"/>
  <c r="AR42" i="19"/>
  <c r="AR32" i="19"/>
  <c r="AR22" i="19"/>
  <c r="AR61" i="19"/>
  <c r="AR51" i="19"/>
  <c r="AR41" i="19"/>
  <c r="AR31" i="19"/>
  <c r="AR60" i="19"/>
  <c r="AR50" i="19"/>
  <c r="AR40" i="19"/>
  <c r="AR30" i="19"/>
  <c r="AR59" i="19"/>
  <c r="AR49" i="19"/>
  <c r="AR39" i="19"/>
  <c r="AR29" i="19"/>
  <c r="AR58" i="19"/>
  <c r="AR48" i="19"/>
  <c r="AR38" i="19"/>
  <c r="AR28" i="19"/>
  <c r="AR57" i="19"/>
  <c r="AR47" i="19"/>
  <c r="AR37" i="19"/>
  <c r="AR27" i="19"/>
  <c r="AR56" i="19"/>
  <c r="AR46" i="19"/>
  <c r="AR36" i="19"/>
  <c r="AR26" i="19"/>
  <c r="AR55" i="19"/>
  <c r="AR45" i="19"/>
  <c r="AR35" i="19"/>
  <c r="AR25" i="19"/>
  <c r="AR54" i="19"/>
  <c r="AR44" i="19"/>
  <c r="AR34" i="19"/>
  <c r="AR24" i="19"/>
  <c r="AR53" i="19"/>
  <c r="AR43" i="19"/>
  <c r="AR33" i="19"/>
  <c r="AR23" i="19"/>
  <c r="Y18" i="19" l="1"/>
  <c r="AR63" i="19" s="1"/>
  <c r="AS63" i="19" s="1"/>
  <c r="Y64" i="19" l="1"/>
  <c r="B19" i="22"/>
  <c r="AS20" i="19"/>
  <c r="Q16" i="32" l="1"/>
  <c r="T16" i="32" s="1"/>
  <c r="AU32" i="19"/>
  <c r="O9" i="27" l="1" a="1"/>
  <c r="O9" i="27" s="1"/>
  <c r="O7" i="27" a="1"/>
  <c r="O7" i="27" s="1"/>
  <c r="O3" i="27" a="1"/>
  <c r="O3" i="27" s="1"/>
  <c r="O2" i="27" a="1"/>
  <c r="O2" i="27" s="1"/>
  <c r="AU26" i="19"/>
  <c r="AG26" i="19"/>
  <c r="AB24" i="30"/>
  <c r="AE24" i="30" s="1"/>
  <c r="AF24" i="30" s="1"/>
  <c r="O4" i="27" a="1"/>
  <c r="O4" i="27" s="1"/>
  <c r="O6" i="27" a="1"/>
  <c r="O6" i="27" s="1"/>
  <c r="O8" i="27" a="1"/>
  <c r="O8" i="27" s="1"/>
  <c r="O10" i="27" a="1"/>
  <c r="O10" i="27" s="1"/>
  <c r="O5" i="27" a="1"/>
  <c r="O5" i="27" s="1"/>
  <c r="V16" i="32"/>
  <c r="U16" i="32"/>
  <c r="Q21" i="32"/>
  <c r="T21" i="32" s="1"/>
  <c r="AB39" i="30"/>
  <c r="AE39" i="30" s="1"/>
  <c r="AF39" i="30" s="1"/>
  <c r="AU31" i="19"/>
  <c r="Q30" i="32"/>
  <c r="T30" i="32" s="1"/>
  <c r="AB66" i="30"/>
  <c r="AE66" i="30" s="1"/>
  <c r="AF66" i="30" s="1"/>
  <c r="AU40" i="19"/>
  <c r="AB81" i="30"/>
  <c r="AE81" i="30" s="1"/>
  <c r="AF81" i="30" s="1"/>
  <c r="AU45" i="19"/>
  <c r="Q35" i="32"/>
  <c r="T35" i="32" s="1"/>
  <c r="AB78" i="30"/>
  <c r="AE78" i="30" s="1"/>
  <c r="AF78" i="30" s="1"/>
  <c r="Q34" i="32"/>
  <c r="T34" i="32" s="1"/>
  <c r="J9" i="39" a="1"/>
  <c r="J9" i="39" s="1"/>
  <c r="AU44" i="19"/>
  <c r="AU35" i="19"/>
  <c r="AB51" i="30"/>
  <c r="AE51" i="30" s="1"/>
  <c r="AF51" i="30" s="1"/>
  <c r="Q25" i="32"/>
  <c r="T25" i="32" s="1"/>
  <c r="Q24" i="32"/>
  <c r="T24" i="32" s="1"/>
  <c r="AB48" i="30"/>
  <c r="AE48" i="30" s="1"/>
  <c r="AF48" i="30" s="1"/>
  <c r="AU34" i="19"/>
  <c r="AB12" i="30"/>
  <c r="AE12" i="30" s="1"/>
  <c r="AF12" i="30" s="1"/>
  <c r="AU22" i="19"/>
  <c r="Q12" i="32"/>
  <c r="T12" i="32" s="1"/>
  <c r="AB21" i="30"/>
  <c r="AE21" i="30" s="1"/>
  <c r="AF21" i="30" s="1"/>
  <c r="AU25" i="19"/>
  <c r="Q15" i="32"/>
  <c r="T15" i="32" s="1"/>
  <c r="AB42" i="30"/>
  <c r="Q22" i="32"/>
  <c r="T22" i="32" s="1"/>
  <c r="U22" i="32" s="1"/>
  <c r="AG32" i="19"/>
  <c r="BC11" i="19" l="1"/>
  <c r="AA42" i="30" a="1"/>
  <c r="AA42" i="30" s="1"/>
  <c r="AE42" i="30"/>
  <c r="AF42" i="30" s="1"/>
  <c r="AF26" i="19"/>
  <c r="AA24" i="30" a="1"/>
  <c r="AA24" i="30" s="1"/>
  <c r="AA48" i="30" a="1"/>
  <c r="AA48" i="30" s="1"/>
  <c r="V24" i="32"/>
  <c r="U24" i="32"/>
  <c r="AA78" i="30" a="1"/>
  <c r="AA78" i="30" s="1"/>
  <c r="V30" i="32"/>
  <c r="U30" i="32"/>
  <c r="V34" i="32"/>
  <c r="U34" i="32"/>
  <c r="AF40" i="19"/>
  <c r="AG40" i="19"/>
  <c r="J8" i="39" a="1"/>
  <c r="J8" i="39" s="1"/>
  <c r="U25" i="32"/>
  <c r="V25" i="32"/>
  <c r="J13" i="39" a="1"/>
  <c r="J13" i="39" s="1"/>
  <c r="AG45" i="19"/>
  <c r="AF45" i="19"/>
  <c r="J11" i="39" a="1"/>
  <c r="J11" i="39" s="1"/>
  <c r="AG31" i="19"/>
  <c r="AF31" i="19"/>
  <c r="AA51" i="30" a="1"/>
  <c r="AA51" i="30" s="1"/>
  <c r="U35" i="32"/>
  <c r="V35" i="32"/>
  <c r="AA39" i="30" a="1"/>
  <c r="AA39" i="30" s="1"/>
  <c r="J7" i="39" a="1"/>
  <c r="J7" i="39" s="1"/>
  <c r="AG35" i="19"/>
  <c r="AF35" i="19"/>
  <c r="V21" i="32"/>
  <c r="U21" i="32"/>
  <c r="AA81" i="30" a="1"/>
  <c r="AA81" i="30" s="1"/>
  <c r="AG34" i="19"/>
  <c r="AF34" i="19"/>
  <c r="AG44" i="19"/>
  <c r="AF44" i="19"/>
  <c r="J10" i="39" a="1"/>
  <c r="J10" i="39" s="1"/>
  <c r="AA66" i="30" a="1"/>
  <c r="AA66" i="30" s="1"/>
  <c r="J4" i="39" a="1"/>
  <c r="J4" i="39" s="1"/>
  <c r="J3" i="39" a="1"/>
  <c r="J3" i="39" s="1"/>
  <c r="AA21" i="30" a="1"/>
  <c r="AA21" i="30" s="1"/>
  <c r="AG25" i="19"/>
  <c r="AF25" i="19"/>
  <c r="J5" i="39" a="1"/>
  <c r="J5" i="39" s="1"/>
  <c r="V12" i="32"/>
  <c r="U12" i="32"/>
  <c r="J2" i="39" a="1"/>
  <c r="J2" i="39" s="1"/>
  <c r="AG22" i="19"/>
  <c r="AF22" i="19"/>
  <c r="U15" i="32"/>
  <c r="V15" i="32"/>
  <c r="AA12" i="30" a="1"/>
  <c r="AA12" i="30" s="1"/>
  <c r="J6" i="39" a="1"/>
  <c r="J6" i="39" s="1"/>
  <c r="AF32" i="19"/>
  <c r="V22" i="32"/>
  <c r="L13" i="39" l="1" a="1"/>
  <c r="L13" i="39" s="1"/>
  <c r="L14" i="39" a="1"/>
  <c r="L14" i="39" s="1"/>
  <c r="M13" i="39" a="1"/>
  <c r="M13" i="39" s="1"/>
  <c r="M14" i="39" a="1"/>
  <c r="M14" i="39" s="1"/>
  <c r="L11" i="39" a="1"/>
  <c r="L11" i="39" s="1"/>
  <c r="L12" i="39" a="1"/>
  <c r="L12" i="39" s="1"/>
  <c r="M11" i="39" a="1"/>
  <c r="M11" i="39" s="1"/>
  <c r="M12" i="39" a="1"/>
  <c r="M12" i="39" s="1"/>
  <c r="N7" i="33"/>
  <c r="I7" i="33"/>
  <c r="M8" i="39" a="1"/>
  <c r="M8" i="39" s="1"/>
  <c r="L8" i="39" a="1"/>
  <c r="L8" i="39" s="1"/>
  <c r="M3" i="39" a="1"/>
  <c r="M3" i="39" s="1"/>
  <c r="M2" i="39" a="1"/>
  <c r="M2" i="39" s="1"/>
  <c r="M7" i="39" a="1"/>
  <c r="M7" i="39" s="1"/>
  <c r="L7" i="39" a="1"/>
  <c r="L7" i="39" s="1"/>
  <c r="L10" i="39" a="1"/>
  <c r="L10" i="39" s="1"/>
  <c r="L9" i="39" a="1"/>
  <c r="L9" i="39" s="1"/>
  <c r="M10" i="39" a="1"/>
  <c r="M10" i="39" s="1"/>
  <c r="M9" i="39" a="1"/>
  <c r="M9" i="39" s="1"/>
  <c r="M6" i="39" a="1"/>
  <c r="M6" i="39" s="1"/>
  <c r="L6" i="39" a="1"/>
  <c r="L6" i="39" s="1"/>
  <c r="L2" i="39" a="1"/>
  <c r="L2" i="39" s="1"/>
  <c r="L3" i="39" a="1"/>
  <c r="L3" i="39" s="1"/>
  <c r="L5" i="39" a="1"/>
  <c r="L5" i="39" s="1"/>
  <c r="L4" i="39" a="1"/>
  <c r="L4" i="39" s="1"/>
  <c r="M5" i="39" a="1"/>
  <c r="M5" i="39" s="1"/>
  <c r="M4" i="39" a="1"/>
  <c r="M4" i="39" s="1"/>
  <c r="U52" i="32"/>
  <c r="U53" i="32" s="1"/>
  <c r="AF132" i="30"/>
  <c r="AB132" i="30" s="1"/>
  <c r="AF63" i="19"/>
  <c r="AF64" i="19" s="1"/>
  <c r="Z2" i="26" s="1"/>
  <c r="J7" i="33" l="1"/>
  <c r="I8" i="33" s="1"/>
  <c r="K7" i="33"/>
  <c r="H7" i="33" s="1" a="1"/>
  <c r="H7" i="33" s="1"/>
  <c r="A7" i="33" s="1"/>
  <c r="O7" i="33"/>
  <c r="N8" i="33" s="1"/>
  <c r="P7" i="33"/>
  <c r="M7" i="33" s="1" a="1"/>
  <c r="M7" i="33" s="1"/>
  <c r="B7" i="33" s="1"/>
  <c r="Y2" i="26"/>
  <c r="R7" i="33" l="1"/>
  <c r="S7" i="33"/>
  <c r="T7" i="33"/>
  <c r="U7" i="33"/>
  <c r="P8" i="33"/>
  <c r="M8" i="33" s="1" a="1"/>
  <c r="M8" i="33" s="1"/>
  <c r="B8" i="33" s="1"/>
  <c r="O8" i="33"/>
  <c r="N9" i="33" s="1"/>
  <c r="J8" i="33"/>
  <c r="I9" i="33" s="1"/>
  <c r="K8" i="33"/>
  <c r="H8" i="33" s="1" a="1"/>
  <c r="H8" i="33" s="1"/>
  <c r="A8" i="33" s="1"/>
  <c r="J9" i="33" l="1"/>
  <c r="I10" i="33" s="1"/>
  <c r="K9" i="33"/>
  <c r="H9" i="33" s="1" a="1"/>
  <c r="H9" i="33" s="1"/>
  <c r="A9" i="33" s="1"/>
  <c r="S8" i="33"/>
  <c r="T8" i="33"/>
  <c r="U8" i="33"/>
  <c r="R8" i="33"/>
  <c r="O9" i="33"/>
  <c r="N10" i="33" s="1"/>
  <c r="P9" i="33"/>
  <c r="M9" i="33" s="1" a="1"/>
  <c r="M9" i="33" s="1"/>
  <c r="B9" i="33" s="1"/>
  <c r="O10" i="33" l="1"/>
  <c r="N11" i="33" s="1"/>
  <c r="P10" i="33"/>
  <c r="M10" i="33" s="1" a="1"/>
  <c r="M10" i="33" s="1"/>
  <c r="B10" i="33" s="1"/>
  <c r="U9" i="33"/>
  <c r="S9" i="33"/>
  <c r="R9" i="33"/>
  <c r="T9" i="33"/>
  <c r="J10" i="33"/>
  <c r="I11" i="33" s="1"/>
  <c r="K10" i="33"/>
  <c r="H10" i="33" s="1" a="1"/>
  <c r="H10" i="33" s="1"/>
  <c r="A10" i="33" s="1"/>
  <c r="J11" i="33" l="1"/>
  <c r="I12" i="33" s="1"/>
  <c r="K11" i="33"/>
  <c r="H11" i="33" s="1" a="1"/>
  <c r="H11" i="33" s="1"/>
  <c r="A11" i="33" s="1"/>
  <c r="O11" i="33"/>
  <c r="N12" i="33" s="1"/>
  <c r="P11" i="33"/>
  <c r="M11" i="33" s="1" a="1"/>
  <c r="M11" i="33" s="1"/>
  <c r="B11" i="33" s="1"/>
  <c r="G10" i="33"/>
  <c r="T10" i="33" s="1"/>
  <c r="S10" i="33" l="1"/>
  <c r="R10" i="33"/>
  <c r="U10" i="33"/>
  <c r="J12" i="33"/>
  <c r="I13" i="33" s="1"/>
  <c r="K12" i="33"/>
  <c r="H12" i="33" s="1" a="1"/>
  <c r="H12" i="33" s="1"/>
  <c r="A12" i="33" s="1"/>
  <c r="G11" i="33"/>
  <c r="T11" i="33" s="1"/>
  <c r="O12" i="33"/>
  <c r="N13" i="33" s="1"/>
  <c r="P12" i="33"/>
  <c r="M12" i="33" s="1" a="1"/>
  <c r="M12" i="33" s="1"/>
  <c r="B12" i="33" s="1"/>
  <c r="G12" i="33" l="1"/>
  <c r="R12" i="33" s="1"/>
  <c r="O13" i="33"/>
  <c r="N14" i="33" s="1"/>
  <c r="P13" i="33"/>
  <c r="M13" i="33" s="1" a="1"/>
  <c r="M13" i="33" s="1"/>
  <c r="B13" i="33" s="1"/>
  <c r="S11" i="33"/>
  <c r="R11" i="33"/>
  <c r="U11" i="33"/>
  <c r="J13" i="33"/>
  <c r="I14" i="33" s="1"/>
  <c r="K13" i="33"/>
  <c r="H13" i="33" s="1" a="1"/>
  <c r="H13" i="33" s="1"/>
  <c r="A13" i="33" s="1"/>
  <c r="U12" i="33" l="1"/>
  <c r="G13" i="33"/>
  <c r="R13" i="33" s="1"/>
  <c r="O14" i="33"/>
  <c r="N15" i="33" s="1"/>
  <c r="P14" i="33"/>
  <c r="M14" i="33" s="1" a="1"/>
  <c r="M14" i="33" s="1"/>
  <c r="B14" i="33" s="1"/>
  <c r="T12" i="33"/>
  <c r="S12" i="33"/>
  <c r="J14" i="33"/>
  <c r="I15" i="33" s="1"/>
  <c r="K14" i="33"/>
  <c r="H14" i="33" s="1" a="1"/>
  <c r="H14" i="33" s="1"/>
  <c r="A14" i="33" s="1"/>
  <c r="T13" i="33" l="1"/>
  <c r="O15" i="33"/>
  <c r="N16" i="33" s="1"/>
  <c r="P15" i="33"/>
  <c r="M15" i="33" s="1" a="1"/>
  <c r="M15" i="33" s="1"/>
  <c r="B15" i="33" s="1"/>
  <c r="G14" i="33"/>
  <c r="S14" i="33" s="1"/>
  <c r="U13" i="33"/>
  <c r="J15" i="33"/>
  <c r="I16" i="33" s="1"/>
  <c r="K15" i="33"/>
  <c r="H15" i="33" s="1" a="1"/>
  <c r="H15" i="33" s="1"/>
  <c r="A15" i="33" s="1"/>
  <c r="S13" i="33"/>
  <c r="T14" i="33" l="1"/>
  <c r="R14" i="33"/>
  <c r="U14" i="33"/>
  <c r="J16" i="33"/>
  <c r="K16" i="33"/>
  <c r="H16" i="33" s="1" a="1"/>
  <c r="H16" i="33" s="1"/>
  <c r="A16" i="33" s="1"/>
  <c r="G15" i="33"/>
  <c r="R15" i="33" s="1"/>
  <c r="O16" i="33"/>
  <c r="P16" i="33"/>
  <c r="M16" i="33" s="1" a="1"/>
  <c r="M16" i="33" s="1"/>
  <c r="B16" i="33" s="1"/>
  <c r="E10" i="45" l="1" a="1"/>
  <c r="E10" i="45" s="1"/>
  <c r="E27" i="45" a="1"/>
  <c r="E27" i="45" s="1"/>
  <c r="E15" i="45" a="1"/>
  <c r="E15" i="45" s="1"/>
  <c r="E33" i="45" a="1"/>
  <c r="E33" i="45" s="1"/>
  <c r="E7" i="45" a="1"/>
  <c r="E7" i="45" s="1"/>
  <c r="E36" i="45" a="1"/>
  <c r="E36" i="45" s="1"/>
  <c r="E6" i="45" a="1"/>
  <c r="E6" i="45" s="1"/>
  <c r="E13" i="45" a="1"/>
  <c r="E13" i="45" s="1"/>
  <c r="E3" i="45" a="1"/>
  <c r="E3" i="45" s="1"/>
  <c r="E31" i="45" a="1"/>
  <c r="E31" i="45" s="1"/>
  <c r="E17" i="45" a="1"/>
  <c r="E17" i="45" s="1"/>
  <c r="E5" i="45" a="1"/>
  <c r="E5" i="45" s="1"/>
  <c r="E37" i="45" a="1"/>
  <c r="E37" i="45" s="1"/>
  <c r="E39" i="45" a="1"/>
  <c r="E39" i="45" s="1"/>
  <c r="E23" i="45" a="1"/>
  <c r="E23" i="45" s="1"/>
  <c r="E4" i="45" a="1"/>
  <c r="E4" i="45" s="1"/>
  <c r="E38" i="45" a="1"/>
  <c r="E38" i="45" s="1"/>
  <c r="E24" i="45" a="1"/>
  <c r="E24" i="45" s="1"/>
  <c r="E22" i="45" a="1"/>
  <c r="E22" i="45" s="1"/>
  <c r="E12" i="45" a="1"/>
  <c r="E12" i="45" s="1"/>
  <c r="E20" i="45" a="1"/>
  <c r="E20" i="45" s="1"/>
  <c r="E35" i="45" a="1"/>
  <c r="E35" i="45" s="1"/>
  <c r="E25" i="45" a="1"/>
  <c r="E25" i="45" s="1"/>
  <c r="E14" i="45" a="1"/>
  <c r="E14" i="45" s="1"/>
  <c r="E21" i="45" a="1"/>
  <c r="E21" i="45" s="1"/>
  <c r="E34" i="45" a="1"/>
  <c r="E34" i="45" s="1"/>
  <c r="E9" i="45" a="1"/>
  <c r="E9" i="45" s="1"/>
  <c r="E18" i="45" a="1"/>
  <c r="E18" i="45" s="1"/>
  <c r="E29" i="45" a="1"/>
  <c r="E29" i="45" s="1"/>
  <c r="E19" i="45" a="1"/>
  <c r="E19" i="45" s="1"/>
  <c r="E28" i="45" a="1"/>
  <c r="E28" i="45" s="1"/>
  <c r="E16" i="45" a="1"/>
  <c r="E16" i="45" s="1"/>
  <c r="E30" i="45" a="1"/>
  <c r="E30" i="45" s="1"/>
  <c r="E26" i="45" a="1"/>
  <c r="E26" i="45" s="1"/>
  <c r="E8" i="45" a="1"/>
  <c r="E8" i="45" s="1"/>
  <c r="E11" i="45" a="1"/>
  <c r="E11" i="45" s="1"/>
  <c r="E32" i="45" a="1"/>
  <c r="E32" i="45" s="1"/>
  <c r="E2" i="45" a="1"/>
  <c r="E2" i="45" s="1"/>
  <c r="E16" i="43" a="1"/>
  <c r="E16" i="43" s="1"/>
  <c r="E5" i="43" a="1"/>
  <c r="E5" i="43" s="1"/>
  <c r="E14" i="43" a="1"/>
  <c r="E14" i="43" s="1"/>
  <c r="E15" i="43" a="1"/>
  <c r="E15" i="43" s="1"/>
  <c r="E22" i="43" a="1"/>
  <c r="E22" i="43" s="1"/>
  <c r="E29" i="43" a="1"/>
  <c r="E29" i="43" s="1"/>
  <c r="E32" i="43" a="1"/>
  <c r="E32" i="43" s="1"/>
  <c r="E30" i="43" a="1"/>
  <c r="E30" i="43" s="1"/>
  <c r="E31" i="43" a="1"/>
  <c r="E31" i="43" s="1"/>
  <c r="E8" i="43" a="1"/>
  <c r="E8" i="43" s="1"/>
  <c r="E24" i="43" a="1"/>
  <c r="E24" i="43" s="1"/>
  <c r="E28" i="43" a="1"/>
  <c r="E28" i="43" s="1"/>
  <c r="E4" i="43" a="1"/>
  <c r="E4" i="43" s="1"/>
  <c r="E12" i="43" a="1"/>
  <c r="E12" i="43" s="1"/>
  <c r="E6" i="43" a="1"/>
  <c r="E6" i="43" s="1"/>
  <c r="E37" i="43" a="1"/>
  <c r="E37" i="43" s="1"/>
  <c r="E20" i="43" a="1"/>
  <c r="E20" i="43" s="1"/>
  <c r="E33" i="43" a="1"/>
  <c r="E33" i="43" s="1"/>
  <c r="E26" i="43" a="1"/>
  <c r="E26" i="43" s="1"/>
  <c r="E38" i="43" a="1"/>
  <c r="E38" i="43" s="1"/>
  <c r="E27" i="43" a="1"/>
  <c r="E27" i="43" s="1"/>
  <c r="E36" i="43" a="1"/>
  <c r="E36" i="43" s="1"/>
  <c r="E11" i="43" a="1"/>
  <c r="E11" i="43" s="1"/>
  <c r="E18" i="43" a="1"/>
  <c r="E18" i="43" s="1"/>
  <c r="E39" i="43" a="1"/>
  <c r="E39" i="43" s="1"/>
  <c r="E23" i="43" a="1"/>
  <c r="E23" i="43" s="1"/>
  <c r="E3" i="43" a="1"/>
  <c r="E3" i="43" s="1"/>
  <c r="E21" i="43" a="1"/>
  <c r="E21" i="43" s="1"/>
  <c r="E10" i="43" a="1"/>
  <c r="E10" i="43" s="1"/>
  <c r="E2" i="43" a="1"/>
  <c r="E2" i="43" s="1"/>
  <c r="E13" i="43" a="1"/>
  <c r="E13" i="43" s="1"/>
  <c r="E35" i="43" a="1"/>
  <c r="E35" i="43" s="1"/>
  <c r="E25" i="43" a="1"/>
  <c r="E25" i="43" s="1"/>
  <c r="E19" i="43" a="1"/>
  <c r="E19" i="43" s="1"/>
  <c r="E34" i="43" a="1"/>
  <c r="E34" i="43" s="1"/>
  <c r="E17" i="43" a="1"/>
  <c r="E17" i="43" s="1"/>
  <c r="E9" i="43" a="1"/>
  <c r="E9" i="43" s="1"/>
  <c r="E7" i="43" a="1"/>
  <c r="E7" i="43" s="1"/>
  <c r="G16" i="33"/>
  <c r="R16" i="33" s="1"/>
  <c r="T15" i="33"/>
  <c r="S15" i="33"/>
  <c r="U15" i="33"/>
  <c r="U16" i="33" l="1"/>
  <c r="H30" i="45" a="1"/>
  <c r="H30" i="45" s="1"/>
  <c r="F30" i="45" a="1"/>
  <c r="F30" i="45" s="1"/>
  <c r="I30" i="45" a="1"/>
  <c r="I30" i="45" s="1"/>
  <c r="G30" i="45" a="1"/>
  <c r="G30" i="45" s="1"/>
  <c r="I14" i="45" a="1"/>
  <c r="I14" i="45" s="1"/>
  <c r="F14" i="45" a="1"/>
  <c r="F14" i="45" s="1"/>
  <c r="H14" i="45" a="1"/>
  <c r="H14" i="45" s="1"/>
  <c r="G14" i="45" a="1"/>
  <c r="G14" i="45" s="1"/>
  <c r="I7" i="45" a="1"/>
  <c r="I7" i="45" s="1"/>
  <c r="H7" i="45" a="1"/>
  <c r="H7" i="45" s="1"/>
  <c r="F7" i="45" a="1"/>
  <c r="F7" i="45" s="1"/>
  <c r="G7" i="45" a="1"/>
  <c r="G7" i="45" s="1"/>
  <c r="G16" i="45" a="1"/>
  <c r="G16" i="45" s="1"/>
  <c r="H16" i="45" a="1"/>
  <c r="H16" i="45" s="1"/>
  <c r="I16" i="45" a="1"/>
  <c r="I16" i="45" s="1"/>
  <c r="F16" i="45" a="1"/>
  <c r="F16" i="45" s="1"/>
  <c r="H22" i="45" a="1"/>
  <c r="H22" i="45" s="1"/>
  <c r="I22" i="45" a="1"/>
  <c r="I22" i="45" s="1"/>
  <c r="F22" i="45" a="1"/>
  <c r="F22" i="45" s="1"/>
  <c r="G22" i="45" a="1"/>
  <c r="G22" i="45" s="1"/>
  <c r="I39" i="45" a="1"/>
  <c r="I39" i="45" s="1"/>
  <c r="H39" i="45" a="1"/>
  <c r="H39" i="45" s="1"/>
  <c r="G39" i="45" a="1"/>
  <c r="G39" i="45" s="1"/>
  <c r="F39" i="45" a="1"/>
  <c r="F39" i="45" s="1"/>
  <c r="C6" i="46"/>
  <c r="D6" i="46"/>
  <c r="B6" i="46"/>
  <c r="A6" i="46" a="1"/>
  <c r="A6" i="46" s="1"/>
  <c r="D4" i="46"/>
  <c r="B4" i="46"/>
  <c r="C4" i="46"/>
  <c r="A4" i="46" a="1"/>
  <c r="A4" i="46" s="1"/>
  <c r="I25" i="45" a="1"/>
  <c r="I25" i="45" s="1"/>
  <c r="H25" i="45" a="1"/>
  <c r="H25" i="45" s="1"/>
  <c r="G25" i="45" a="1"/>
  <c r="G25" i="45" s="1"/>
  <c r="F25" i="45" a="1"/>
  <c r="F25" i="45" s="1"/>
  <c r="H24" i="45" a="1"/>
  <c r="H24" i="45" s="1"/>
  <c r="I24" i="45" a="1"/>
  <c r="I24" i="45" s="1"/>
  <c r="F24" i="45" a="1"/>
  <c r="F24" i="45" s="1"/>
  <c r="G24" i="45" a="1"/>
  <c r="G24" i="45" s="1"/>
  <c r="D5" i="46"/>
  <c r="B5" i="46"/>
  <c r="C5" i="46"/>
  <c r="A5" i="46" a="1"/>
  <c r="A5" i="46" s="1"/>
  <c r="H33" i="45" a="1"/>
  <c r="H33" i="45" s="1"/>
  <c r="F33" i="45" a="1"/>
  <c r="F33" i="45" s="1"/>
  <c r="I33" i="45" a="1"/>
  <c r="I33" i="45" s="1"/>
  <c r="G33" i="45" a="1"/>
  <c r="G33" i="45" s="1"/>
  <c r="I35" i="45" a="1"/>
  <c r="I35" i="45" s="1"/>
  <c r="F35" i="45" a="1"/>
  <c r="F35" i="45" s="1"/>
  <c r="G35" i="45" a="1"/>
  <c r="G35" i="45" s="1"/>
  <c r="H35" i="45" a="1"/>
  <c r="H35" i="45" s="1"/>
  <c r="I3" i="45" a="1"/>
  <c r="I3" i="45" s="1"/>
  <c r="H3" i="45" a="1"/>
  <c r="H3" i="45" s="1"/>
  <c r="F3" i="45" a="1"/>
  <c r="F3" i="45" s="1"/>
  <c r="G3" i="45" a="1"/>
  <c r="G3" i="45" s="1"/>
  <c r="F2" i="45" a="1"/>
  <c r="F2" i="45" s="1"/>
  <c r="I2" i="45" a="1"/>
  <c r="I2" i="45" s="1"/>
  <c r="H2" i="45" a="1"/>
  <c r="H2" i="45" s="1"/>
  <c r="G2" i="45" a="1"/>
  <c r="G2" i="45" s="1"/>
  <c r="G27" i="45" a="1"/>
  <c r="G27" i="45" s="1"/>
  <c r="H27" i="45" a="1"/>
  <c r="H27" i="45" s="1"/>
  <c r="F27" i="45" a="1"/>
  <c r="F27" i="45" s="1"/>
  <c r="I27" i="45" a="1"/>
  <c r="I27" i="45" s="1"/>
  <c r="G28" i="45" a="1"/>
  <c r="G28" i="45" s="1"/>
  <c r="I28" i="45" a="1"/>
  <c r="I28" i="45" s="1"/>
  <c r="F28" i="45" a="1"/>
  <c r="F28" i="45" s="1"/>
  <c r="H28" i="45" a="1"/>
  <c r="H28" i="45" s="1"/>
  <c r="H19" i="45" a="1"/>
  <c r="H19" i="45" s="1"/>
  <c r="G19" i="45" a="1"/>
  <c r="G19" i="45" s="1"/>
  <c r="I19" i="45" a="1"/>
  <c r="I19" i="45" s="1"/>
  <c r="F19" i="45" a="1"/>
  <c r="F19" i="45" s="1"/>
  <c r="H15" i="45" a="1"/>
  <c r="H15" i="45" s="1"/>
  <c r="I15" i="45" a="1"/>
  <c r="I15" i="45" s="1"/>
  <c r="F15" i="45" a="1"/>
  <c r="F15" i="45" s="1"/>
  <c r="G15" i="45" a="1"/>
  <c r="G15" i="45" s="1"/>
  <c r="G34" i="45" a="1"/>
  <c r="G34" i="45" s="1"/>
  <c r="H34" i="45" a="1"/>
  <c r="H34" i="45" s="1"/>
  <c r="I34" i="45" a="1"/>
  <c r="I34" i="45" s="1"/>
  <c r="F34" i="45" a="1"/>
  <c r="F34" i="45" s="1"/>
  <c r="H5" i="45" a="1"/>
  <c r="H5" i="45" s="1"/>
  <c r="F5" i="45" a="1"/>
  <c r="F5" i="45" s="1"/>
  <c r="G5" i="45" a="1"/>
  <c r="G5" i="45" s="1"/>
  <c r="I5" i="45" a="1"/>
  <c r="I5" i="45" s="1"/>
  <c r="C3" i="46"/>
  <c r="D3" i="46"/>
  <c r="B3" i="46"/>
  <c r="A3" i="46" a="1"/>
  <c r="A3" i="46" s="1"/>
  <c r="H4" i="45" a="1"/>
  <c r="H4" i="45" s="1"/>
  <c r="I4" i="45" a="1"/>
  <c r="I4" i="45" s="1"/>
  <c r="F4" i="45" a="1"/>
  <c r="F4" i="45" s="1"/>
  <c r="G4" i="45" a="1"/>
  <c r="G4" i="45" s="1"/>
  <c r="H6" i="45" a="1"/>
  <c r="H6" i="45" s="1"/>
  <c r="F6" i="45" a="1"/>
  <c r="F6" i="45" s="1"/>
  <c r="G6" i="45" a="1"/>
  <c r="G6" i="45" s="1"/>
  <c r="I6" i="45" a="1"/>
  <c r="I6" i="45" s="1"/>
  <c r="G10" i="45" a="1"/>
  <c r="G10" i="45" s="1"/>
  <c r="I10" i="45" a="1"/>
  <c r="I10" i="45" s="1"/>
  <c r="H10" i="45" a="1"/>
  <c r="H10" i="45" s="1"/>
  <c r="F10" i="45" a="1"/>
  <c r="F10" i="45" s="1"/>
  <c r="G37" i="45" a="1"/>
  <c r="G37" i="45" s="1"/>
  <c r="F37" i="45" a="1"/>
  <c r="F37" i="45" s="1"/>
  <c r="H37" i="45" a="1"/>
  <c r="H37" i="45" s="1"/>
  <c r="I37" i="45" a="1"/>
  <c r="I37" i="45" s="1"/>
  <c r="D7" i="46"/>
  <c r="C7" i="46"/>
  <c r="B7" i="46"/>
  <c r="A7" i="46" a="1"/>
  <c r="A7" i="46" s="1"/>
  <c r="H11" i="45" a="1"/>
  <c r="H11" i="45" s="1"/>
  <c r="F11" i="45" a="1"/>
  <c r="F11" i="45" s="1"/>
  <c r="G11" i="45" a="1"/>
  <c r="G11" i="45" s="1"/>
  <c r="I11" i="45" a="1"/>
  <c r="I11" i="45" s="1"/>
  <c r="I8" i="45" a="1"/>
  <c r="I8" i="45" s="1"/>
  <c r="H8" i="45" a="1"/>
  <c r="H8" i="45" s="1"/>
  <c r="F8" i="45" a="1"/>
  <c r="F8" i="45" s="1"/>
  <c r="G8" i="45" a="1"/>
  <c r="G8" i="45" s="1"/>
  <c r="I21" i="45" a="1"/>
  <c r="I21" i="45" s="1"/>
  <c r="F21" i="45" a="1"/>
  <c r="F21" i="45" s="1"/>
  <c r="H21" i="45" a="1"/>
  <c r="H21" i="45" s="1"/>
  <c r="G21" i="45" a="1"/>
  <c r="G21" i="45" s="1"/>
  <c r="B2" i="46"/>
  <c r="C2" i="46"/>
  <c r="D2" i="46"/>
  <c r="A2" i="46" a="1"/>
  <c r="A2" i="46" s="1"/>
  <c r="H9" i="45" a="1"/>
  <c r="H9" i="45" s="1"/>
  <c r="I9" i="45" a="1"/>
  <c r="I9" i="45" s="1"/>
  <c r="G9" i="45" a="1"/>
  <c r="G9" i="45" s="1"/>
  <c r="F9" i="45" a="1"/>
  <c r="F9" i="45" s="1"/>
  <c r="I29" i="45" a="1"/>
  <c r="I29" i="45" s="1"/>
  <c r="F29" i="45" a="1"/>
  <c r="F29" i="45" s="1"/>
  <c r="G29" i="45" a="1"/>
  <c r="G29" i="45" s="1"/>
  <c r="H29" i="45" a="1"/>
  <c r="H29" i="45" s="1"/>
  <c r="G38" i="45" a="1"/>
  <c r="G38" i="45" s="1"/>
  <c r="I38" i="45" a="1"/>
  <c r="I38" i="45" s="1"/>
  <c r="H38" i="45" a="1"/>
  <c r="H38" i="45" s="1"/>
  <c r="F38" i="45" a="1"/>
  <c r="F38" i="45" s="1"/>
  <c r="H32" i="45" a="1"/>
  <c r="H32" i="45" s="1"/>
  <c r="I32" i="45" a="1"/>
  <c r="I32" i="45" s="1"/>
  <c r="F32" i="45" a="1"/>
  <c r="F32" i="45" s="1"/>
  <c r="G32" i="45" a="1"/>
  <c r="G32" i="45" s="1"/>
  <c r="G20" i="45" a="1"/>
  <c r="G20" i="45" s="1"/>
  <c r="I20" i="45" a="1"/>
  <c r="I20" i="45" s="1"/>
  <c r="F20" i="45" a="1"/>
  <c r="F20" i="45" s="1"/>
  <c r="H20" i="45" a="1"/>
  <c r="H20" i="45" s="1"/>
  <c r="G17" i="45" a="1"/>
  <c r="G17" i="45" s="1"/>
  <c r="I17" i="45" a="1"/>
  <c r="I17" i="45" s="1"/>
  <c r="F17" i="45" a="1"/>
  <c r="F17" i="45" s="1"/>
  <c r="H17" i="45" a="1"/>
  <c r="H17" i="45" s="1"/>
  <c r="I13" i="45" a="1"/>
  <c r="I13" i="45" s="1"/>
  <c r="G13" i="45" a="1"/>
  <c r="G13" i="45" s="1"/>
  <c r="F13" i="45" a="1"/>
  <c r="F13" i="45" s="1"/>
  <c r="H13" i="45" a="1"/>
  <c r="H13" i="45" s="1"/>
  <c r="G26" i="45" a="1"/>
  <c r="G26" i="45" s="1"/>
  <c r="H26" i="45" a="1"/>
  <c r="H26" i="45" s="1"/>
  <c r="F26" i="45" a="1"/>
  <c r="F26" i="45" s="1"/>
  <c r="I26" i="45" a="1"/>
  <c r="I26" i="45" s="1"/>
  <c r="G18" i="45" a="1"/>
  <c r="G18" i="45" s="1"/>
  <c r="H18" i="45" a="1"/>
  <c r="H18" i="45" s="1"/>
  <c r="I18" i="45" a="1"/>
  <c r="I18" i="45" s="1"/>
  <c r="F18" i="45" a="1"/>
  <c r="F18" i="45" s="1"/>
  <c r="G12" i="45" a="1"/>
  <c r="G12" i="45" s="1"/>
  <c r="F12" i="45" a="1"/>
  <c r="F12" i="45" s="1"/>
  <c r="H12" i="45" a="1"/>
  <c r="H12" i="45" s="1"/>
  <c r="I12" i="45" a="1"/>
  <c r="I12" i="45" s="1"/>
  <c r="H23" i="45" a="1"/>
  <c r="H23" i="45" s="1"/>
  <c r="I23" i="45" a="1"/>
  <c r="I23" i="45" s="1"/>
  <c r="F23" i="45" a="1"/>
  <c r="F23" i="45" s="1"/>
  <c r="G23" i="45" a="1"/>
  <c r="G23" i="45" s="1"/>
  <c r="I31" i="45" a="1"/>
  <c r="I31" i="45" s="1"/>
  <c r="F31" i="45" a="1"/>
  <c r="F31" i="45" s="1"/>
  <c r="H31" i="45" a="1"/>
  <c r="H31" i="45" s="1"/>
  <c r="G31" i="45" a="1"/>
  <c r="G31" i="45" s="1"/>
  <c r="G36" i="45" a="1"/>
  <c r="G36" i="45" s="1"/>
  <c r="F36" i="45" a="1"/>
  <c r="F36" i="45" s="1"/>
  <c r="I36" i="45" a="1"/>
  <c r="I36" i="45" s="1"/>
  <c r="H36" i="45" a="1"/>
  <c r="H36" i="45" s="1"/>
  <c r="D15" i="45"/>
  <c r="A15" i="45" a="1"/>
  <c r="A15" i="45" s="1"/>
  <c r="C15" i="45"/>
  <c r="B15" i="45"/>
  <c r="B31" i="45"/>
  <c r="D31" i="45"/>
  <c r="A31" i="45" a="1"/>
  <c r="A31" i="45" s="1"/>
  <c r="C31" i="45"/>
  <c r="B4" i="45"/>
  <c r="D4" i="45"/>
  <c r="C4" i="45"/>
  <c r="A4" i="45" a="1"/>
  <c r="A4" i="45" s="1"/>
  <c r="C34" i="45"/>
  <c r="B34" i="45"/>
  <c r="A34" i="45" a="1"/>
  <c r="A34" i="45" s="1"/>
  <c r="D34" i="45"/>
  <c r="D37" i="45"/>
  <c r="B37" i="45"/>
  <c r="A37" i="45" a="1"/>
  <c r="A37" i="45" s="1"/>
  <c r="C37" i="45"/>
  <c r="C10" i="45"/>
  <c r="D10" i="45"/>
  <c r="B10" i="45"/>
  <c r="A10" i="45" a="1"/>
  <c r="A10" i="45" s="1"/>
  <c r="D30" i="45"/>
  <c r="B30" i="45"/>
  <c r="A30" i="45" a="1"/>
  <c r="A30" i="45" s="1"/>
  <c r="C30" i="45"/>
  <c r="D17" i="45"/>
  <c r="C17" i="45"/>
  <c r="B17" i="45"/>
  <c r="A17" i="45" a="1"/>
  <c r="A17" i="45" s="1"/>
  <c r="A20" i="45" a="1"/>
  <c r="A20" i="45" s="1"/>
  <c r="D20" i="45"/>
  <c r="B20" i="45"/>
  <c r="C20" i="45"/>
  <c r="D21" i="45"/>
  <c r="C21" i="45"/>
  <c r="B21" i="45"/>
  <c r="A21" i="45" a="1"/>
  <c r="A21" i="45" s="1"/>
  <c r="B24" i="45"/>
  <c r="A24" i="45" a="1"/>
  <c r="A24" i="45" s="1"/>
  <c r="D24" i="45"/>
  <c r="C24" i="45"/>
  <c r="A32" i="45" a="1"/>
  <c r="A32" i="45" s="1"/>
  <c r="D32" i="45"/>
  <c r="B32" i="45"/>
  <c r="C32" i="45"/>
  <c r="D12" i="45"/>
  <c r="A12" i="45" a="1"/>
  <c r="A12" i="45" s="1"/>
  <c r="B12" i="45"/>
  <c r="C12" i="45"/>
  <c r="D23" i="45"/>
  <c r="C23" i="45"/>
  <c r="B23" i="45"/>
  <c r="A23" i="45" a="1"/>
  <c r="A23" i="45" s="1"/>
  <c r="D16" i="45"/>
  <c r="B16" i="45"/>
  <c r="C16" i="45"/>
  <c r="A16" i="45" a="1"/>
  <c r="A16" i="45" s="1"/>
  <c r="D2" i="45"/>
  <c r="B2" i="45"/>
  <c r="C2" i="45"/>
  <c r="A2" i="45" a="1"/>
  <c r="A2" i="45" s="1"/>
  <c r="A7" i="45" a="1"/>
  <c r="A7" i="45" s="1"/>
  <c r="D7" i="45"/>
  <c r="C7" i="45"/>
  <c r="B7" i="45"/>
  <c r="B19" i="45"/>
  <c r="D19" i="45"/>
  <c r="A19" i="45" a="1"/>
  <c r="A19" i="45" s="1"/>
  <c r="C19" i="45"/>
  <c r="A28" i="45" a="1"/>
  <c r="A28" i="45" s="1"/>
  <c r="D28" i="45"/>
  <c r="C28" i="45"/>
  <c r="B28" i="45"/>
  <c r="D35" i="45"/>
  <c r="A35" i="45" a="1"/>
  <c r="A35" i="45" s="1"/>
  <c r="C35" i="45"/>
  <c r="B35" i="45"/>
  <c r="C25" i="45"/>
  <c r="D25" i="45"/>
  <c r="B25" i="45"/>
  <c r="A25" i="45" a="1"/>
  <c r="A25" i="45" s="1"/>
  <c r="C8" i="45"/>
  <c r="B8" i="45"/>
  <c r="D8" i="45"/>
  <c r="A8" i="45" a="1"/>
  <c r="A8" i="45" s="1"/>
  <c r="D6" i="45"/>
  <c r="B6" i="45"/>
  <c r="C6" i="45"/>
  <c r="A6" i="45" a="1"/>
  <c r="A6" i="45" s="1"/>
  <c r="D9" i="45"/>
  <c r="B9" i="45"/>
  <c r="C9" i="45"/>
  <c r="A9" i="45" a="1"/>
  <c r="A9" i="45" s="1"/>
  <c r="C5" i="45"/>
  <c r="B5" i="45"/>
  <c r="D5" i="45"/>
  <c r="A5" i="45" a="1"/>
  <c r="A5" i="45" s="1"/>
  <c r="A33" i="45" a="1"/>
  <c r="A33" i="45" s="1"/>
  <c r="D33" i="45"/>
  <c r="B33" i="45"/>
  <c r="C33" i="45"/>
  <c r="T16" i="33"/>
  <c r="C18" i="45"/>
  <c r="B18" i="45"/>
  <c r="A18" i="45" a="1"/>
  <c r="A18" i="45" s="1"/>
  <c r="D18" i="45"/>
  <c r="B14" i="45"/>
  <c r="D14" i="45"/>
  <c r="C14" i="45"/>
  <c r="A14" i="45" a="1"/>
  <c r="A14" i="45" s="1"/>
  <c r="D13" i="45"/>
  <c r="C13" i="45"/>
  <c r="B13" i="45"/>
  <c r="A13" i="45" a="1"/>
  <c r="A13" i="45" s="1"/>
  <c r="B11" i="45"/>
  <c r="D11" i="45"/>
  <c r="C11" i="45"/>
  <c r="A11" i="45" a="1"/>
  <c r="A11" i="45" s="1"/>
  <c r="C39" i="45"/>
  <c r="B39" i="45"/>
  <c r="D39" i="45"/>
  <c r="A39" i="45" a="1"/>
  <c r="A39" i="45" s="1"/>
  <c r="D3" i="45"/>
  <c r="C3" i="45"/>
  <c r="B3" i="45"/>
  <c r="A3" i="45" a="1"/>
  <c r="A3" i="45" s="1"/>
  <c r="D26" i="45"/>
  <c r="C26" i="45"/>
  <c r="B26" i="45"/>
  <c r="A26" i="45" a="1"/>
  <c r="A26" i="45" s="1"/>
  <c r="D36" i="45"/>
  <c r="A36" i="45" a="1"/>
  <c r="A36" i="45" s="1"/>
  <c r="C36" i="45"/>
  <c r="B36" i="45"/>
  <c r="D22" i="45"/>
  <c r="A22" i="45" a="1"/>
  <c r="A22" i="45" s="1"/>
  <c r="B22" i="45"/>
  <c r="C22" i="45"/>
  <c r="C38" i="45"/>
  <c r="D38" i="45"/>
  <c r="B38" i="45"/>
  <c r="A38" i="45" a="1"/>
  <c r="A38" i="45" s="1"/>
  <c r="A29" i="45" a="1"/>
  <c r="A29" i="45" s="1"/>
  <c r="D29" i="45"/>
  <c r="B29" i="45"/>
  <c r="C29" i="45"/>
  <c r="A27" i="45" a="1"/>
  <c r="A27" i="45" s="1"/>
  <c r="D27" i="45"/>
  <c r="B27" i="45"/>
  <c r="C27" i="45"/>
  <c r="A24" i="43" a="1"/>
  <c r="A24" i="43" s="1"/>
  <c r="B24" i="43"/>
  <c r="D24" i="43"/>
  <c r="C24" i="43"/>
  <c r="A22" i="43" a="1"/>
  <c r="A22" i="43" s="1"/>
  <c r="D22" i="43"/>
  <c r="C22" i="43"/>
  <c r="B22" i="43"/>
  <c r="A6" i="43" a="1"/>
  <c r="A6" i="43" s="1"/>
  <c r="D6" i="43"/>
  <c r="C6" i="43"/>
  <c r="B6" i="43"/>
  <c r="D35" i="43"/>
  <c r="B35" i="43"/>
  <c r="A35" i="43" a="1"/>
  <c r="A35" i="43" s="1"/>
  <c r="C35" i="43"/>
  <c r="A7" i="44" a="1"/>
  <c r="A7" i="44" s="1"/>
  <c r="C7" i="44"/>
  <c r="B7" i="44"/>
  <c r="D7" i="44"/>
  <c r="D26" i="43"/>
  <c r="C26" i="43"/>
  <c r="B26" i="43"/>
  <c r="A26" i="43" a="1"/>
  <c r="A26" i="43" s="1"/>
  <c r="A7" i="43" a="1"/>
  <c r="A7" i="43" s="1"/>
  <c r="C7" i="43"/>
  <c r="B7" i="43"/>
  <c r="D7" i="43"/>
  <c r="A12" i="43" a="1"/>
  <c r="A12" i="43" s="1"/>
  <c r="B12" i="43"/>
  <c r="D12" i="43"/>
  <c r="C12" i="43"/>
  <c r="C31" i="43"/>
  <c r="D31" i="43"/>
  <c r="A31" i="43" a="1"/>
  <c r="A31" i="43" s="1"/>
  <c r="B31" i="43"/>
  <c r="A14" i="43" a="1"/>
  <c r="A14" i="43" s="1"/>
  <c r="C14" i="43"/>
  <c r="D14" i="43"/>
  <c r="B14" i="43"/>
  <c r="A13" i="43" a="1"/>
  <c r="A13" i="43" s="1"/>
  <c r="C13" i="43"/>
  <c r="B13" i="43"/>
  <c r="D13" i="43"/>
  <c r="A8" i="43" a="1"/>
  <c r="A8" i="43" s="1"/>
  <c r="D8" i="43"/>
  <c r="B8" i="43"/>
  <c r="C8" i="43"/>
  <c r="D9" i="43"/>
  <c r="B9" i="43"/>
  <c r="A9" i="43" a="1"/>
  <c r="A9" i="43" s="1"/>
  <c r="C9" i="43"/>
  <c r="D4" i="44"/>
  <c r="B4" i="44"/>
  <c r="C4" i="44"/>
  <c r="A4" i="44" a="1"/>
  <c r="A4" i="44" s="1"/>
  <c r="D2" i="44"/>
  <c r="B2" i="44"/>
  <c r="C2" i="44"/>
  <c r="A2" i="44" a="1"/>
  <c r="A2" i="44" s="1"/>
  <c r="D3" i="43"/>
  <c r="B3" i="43"/>
  <c r="C3" i="43"/>
  <c r="A3" i="43" a="1"/>
  <c r="A3" i="43" s="1"/>
  <c r="D15" i="43"/>
  <c r="B15" i="43"/>
  <c r="A15" i="43" a="1"/>
  <c r="A15" i="43" s="1"/>
  <c r="C15" i="43"/>
  <c r="A18" i="43" a="1"/>
  <c r="A18" i="43" s="1"/>
  <c r="D18" i="43"/>
  <c r="B18" i="43"/>
  <c r="C18" i="43"/>
  <c r="D2" i="43"/>
  <c r="C2" i="43"/>
  <c r="B2" i="43"/>
  <c r="A2" i="43" a="1"/>
  <c r="A2" i="43" s="1"/>
  <c r="A17" i="43" a="1"/>
  <c r="A17" i="43" s="1"/>
  <c r="D17" i="43"/>
  <c r="C17" i="43"/>
  <c r="B17" i="43"/>
  <c r="C5" i="44"/>
  <c r="D5" i="44"/>
  <c r="B5" i="44"/>
  <c r="A5" i="44" a="1"/>
  <c r="A5" i="44" s="1"/>
  <c r="C11" i="43"/>
  <c r="B11" i="43"/>
  <c r="D11" i="43"/>
  <c r="A11" i="43" a="1"/>
  <c r="A11" i="43" s="1"/>
  <c r="B30" i="43"/>
  <c r="C30" i="43"/>
  <c r="A30" i="43" a="1"/>
  <c r="A30" i="43" s="1"/>
  <c r="D30" i="43"/>
  <c r="D4" i="43"/>
  <c r="C4" i="43"/>
  <c r="B4" i="43"/>
  <c r="A4" i="43" a="1"/>
  <c r="A4" i="43" s="1"/>
  <c r="A32" i="43" a="1"/>
  <c r="A32" i="43" s="1"/>
  <c r="B32" i="43"/>
  <c r="D32" i="43"/>
  <c r="C32" i="43"/>
  <c r="D5" i="43"/>
  <c r="B5" i="43"/>
  <c r="C5" i="43"/>
  <c r="A5" i="43" a="1"/>
  <c r="A5" i="43" s="1"/>
  <c r="A10" i="43" a="1"/>
  <c r="A10" i="43" s="1"/>
  <c r="C10" i="43"/>
  <c r="B10" i="43"/>
  <c r="D10" i="43"/>
  <c r="B3" i="44"/>
  <c r="D3" i="44"/>
  <c r="C3" i="44"/>
  <c r="A3" i="44" a="1"/>
  <c r="A3" i="44" s="1"/>
  <c r="A23" i="43" a="1"/>
  <c r="A23" i="43" s="1"/>
  <c r="B23" i="43"/>
  <c r="C23" i="43"/>
  <c r="D23" i="43"/>
  <c r="B20" i="43"/>
  <c r="C20" i="43"/>
  <c r="A20" i="43" a="1"/>
  <c r="A20" i="43" s="1"/>
  <c r="D20" i="43"/>
  <c r="D29" i="43"/>
  <c r="A29" i="43" a="1"/>
  <c r="A29" i="43" s="1"/>
  <c r="C29" i="43"/>
  <c r="B29" i="43"/>
  <c r="A19" i="43" a="1"/>
  <c r="A19" i="43" s="1"/>
  <c r="B19" i="43"/>
  <c r="D19" i="43"/>
  <c r="C19" i="43"/>
  <c r="A39" i="43" a="1"/>
  <c r="A39" i="43" s="1"/>
  <c r="C39" i="43"/>
  <c r="B39" i="43"/>
  <c r="D39" i="43"/>
  <c r="B16" i="43"/>
  <c r="A16" i="43" a="1"/>
  <c r="A16" i="43" s="1"/>
  <c r="C16" i="43"/>
  <c r="D16" i="43"/>
  <c r="A34" i="43" a="1"/>
  <c r="A34" i="43" s="1"/>
  <c r="B34" i="43"/>
  <c r="D34" i="43"/>
  <c r="C34" i="43"/>
  <c r="A33" i="43" a="1"/>
  <c r="A33" i="43" s="1"/>
  <c r="B33" i="43"/>
  <c r="D33" i="43"/>
  <c r="C33" i="43"/>
  <c r="B36" i="43"/>
  <c r="C36" i="43"/>
  <c r="A36" i="43" a="1"/>
  <c r="A36" i="43" s="1"/>
  <c r="D36" i="43"/>
  <c r="A28" i="43" a="1"/>
  <c r="A28" i="43" s="1"/>
  <c r="B28" i="43"/>
  <c r="D28" i="43"/>
  <c r="C28" i="43"/>
  <c r="S16" i="33"/>
  <c r="A27" i="43" a="1"/>
  <c r="A27" i="43" s="1"/>
  <c r="C27" i="43"/>
  <c r="B27" i="43"/>
  <c r="D27" i="43"/>
  <c r="A25" i="43" a="1"/>
  <c r="A25" i="43" s="1"/>
  <c r="C25" i="43"/>
  <c r="D25" i="43"/>
  <c r="B25" i="43"/>
  <c r="A21" i="43" a="1"/>
  <c r="A21" i="43" s="1"/>
  <c r="C21" i="43"/>
  <c r="B21" i="43"/>
  <c r="D21" i="43"/>
  <c r="A38" i="43" a="1"/>
  <c r="A38" i="43" s="1"/>
  <c r="B38" i="43"/>
  <c r="C38" i="43"/>
  <c r="D38" i="43"/>
  <c r="A37" i="43" a="1"/>
  <c r="A37" i="43" s="1"/>
  <c r="D37" i="43"/>
  <c r="B37" i="43"/>
  <c r="C37" i="43"/>
  <c r="A6" i="44" a="1"/>
  <c r="A6" i="44" s="1"/>
  <c r="B6" i="44"/>
  <c r="D6" i="44"/>
  <c r="C6" i="44"/>
  <c r="S4" i="33" l="1"/>
  <c r="CJ22"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tc={CA72F96C-36DA-4008-BFB6-681886DC9D9C}</author>
  </authors>
  <commentList>
    <comment ref="F17" authorId="0" shapeId="0" xr:uid="{CA72F96C-36DA-4008-BFB6-681886DC9D9C}">
      <text>
        <t>[Threaded comment]
Your version of Excel allows you to read this threaded comment; however, any edits to it will get removed if the file is opened in a newer version of Excel. Learn more: https://go.microsoft.com/fwlink/?linkid=870924
Comment:
    edit phrasing based on Y3 indicators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tc={3EC13945-A650-430E-B5DB-5401A8372849}</author>
  </authors>
  <commentList>
    <comment ref="F11" authorId="0" shapeId="0" xr:uid="{3EC13945-A650-430E-B5DB-5401A8372849}">
      <text>
        <t>[Threaded comment]
Your version of Excel allows you to read this threaded comment; however, any edits to it will get removed if the file is opened in a newer version of Excel. Learn more: https://go.microsoft.com/fwlink/?linkid=870924
Comment:
    edit phrasing based on Y3 indicators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<sst xmlns="http://schemas.openxmlformats.org/spreadsheetml/2006/main" count="4468" uniqueCount="2013">
  <si>
    <t>property</t>
  </si>
  <si>
    <t>value</t>
  </si>
  <si>
    <t>doc_type</t>
  </si>
  <si>
    <t>IPCRF encoding</t>
  </si>
  <si>
    <t>version</t>
  </si>
  <si>
    <t>rating_period</t>
  </si>
  <si>
    <t>teacher_type</t>
  </si>
  <si>
    <t>career_stage</t>
  </si>
  <si>
    <t>required_cot</t>
  </si>
  <si>
    <t>consolidation_status</t>
  </si>
  <si>
    <t>save_status</t>
  </si>
  <si>
    <t>change_status</t>
  </si>
  <si>
    <t>setup_status</t>
  </si>
  <si>
    <t>demographics_locked</t>
  </si>
  <si>
    <t>PART1_status</t>
  </si>
  <si>
    <t>PART2_status</t>
  </si>
  <si>
    <t>PART4_status</t>
  </si>
  <si>
    <t>COT1_status</t>
  </si>
  <si>
    <t>COT2_status</t>
  </si>
  <si>
    <t>COT3_status</t>
  </si>
  <si>
    <t>COT4_status</t>
  </si>
  <si>
    <t>rater_lock_password</t>
  </si>
  <si>
    <t>ratee_lock_password</t>
  </si>
  <si>
    <t>uniquepersonnelid</t>
  </si>
  <si>
    <t>teacher_name</t>
  </si>
  <si>
    <t>region</t>
  </si>
  <si>
    <t>division</t>
  </si>
  <si>
    <t>level_taught</t>
  </si>
  <si>
    <t>school_id</t>
  </si>
  <si>
    <t>school_name</t>
  </si>
  <si>
    <t>office_version</t>
  </si>
  <si>
    <t>Not supported or Macro is disabled</t>
  </si>
  <si>
    <t>regionid</t>
  </si>
  <si>
    <t>divisionid</t>
  </si>
  <si>
    <t>teacherid</t>
  </si>
  <si>
    <t>region_name</t>
  </si>
  <si>
    <t>division_name</t>
  </si>
  <si>
    <t>municipality</t>
  </si>
  <si>
    <t>school_type</t>
  </si>
  <si>
    <t>school_size</t>
  </si>
  <si>
    <t>curricular_classification</t>
  </si>
  <si>
    <t>lastname</t>
  </si>
  <si>
    <t>firstname</t>
  </si>
  <si>
    <t>middlename</t>
  </si>
  <si>
    <t>email</t>
  </si>
  <si>
    <t>TIN</t>
  </si>
  <si>
    <t>position</t>
  </si>
  <si>
    <t>grade_level</t>
  </si>
  <si>
    <t>specialization</t>
  </si>
  <si>
    <t>subject_area</t>
  </si>
  <si>
    <t>employment_status</t>
  </si>
  <si>
    <t>age</t>
  </si>
  <si>
    <t>sex</t>
  </si>
  <si>
    <t>years_in_teaching</t>
  </si>
  <si>
    <t>highest_degree</t>
  </si>
  <si>
    <t>degree</t>
  </si>
  <si>
    <t>rating</t>
  </si>
  <si>
    <t>descriptive_rating</t>
  </si>
  <si>
    <t>self_mgt_rating</t>
  </si>
  <si>
    <t>teamwork_rating</t>
  </si>
  <si>
    <t>prof_and_ethics_rating</t>
  </si>
  <si>
    <t>service_orientation_rating</t>
  </si>
  <si>
    <t>results_focus_rating</t>
  </si>
  <si>
    <t>innovation_rating</t>
  </si>
  <si>
    <t>rater_lastname</t>
  </si>
  <si>
    <t>rater_firstname</t>
  </si>
  <si>
    <t>rater_middlename</t>
  </si>
  <si>
    <t>rater_position</t>
  </si>
  <si>
    <t>rater_id</t>
  </si>
  <si>
    <t>rater_email</t>
  </si>
  <si>
    <t>approving_authority_lastname</t>
  </si>
  <si>
    <t>approving_authority_firstname</t>
  </si>
  <si>
    <t>approving_authority_middlename</t>
  </si>
  <si>
    <t>approving_authority_position</t>
  </si>
  <si>
    <t>approving_authority_id</t>
  </si>
  <si>
    <t>approving_authority_email</t>
  </si>
  <si>
    <t>date_of_review</t>
  </si>
  <si>
    <t>Part1_date_finalized</t>
  </si>
  <si>
    <t>Part2_date_finalized</t>
  </si>
  <si>
    <t>Part4_date_finalized</t>
  </si>
  <si>
    <t>objective_index</t>
  </si>
  <si>
    <t>objective_code</t>
  </si>
  <si>
    <t>cot1</t>
  </si>
  <si>
    <t>cot2</t>
  </si>
  <si>
    <t>cot3</t>
  </si>
  <si>
    <t>cot4</t>
  </si>
  <si>
    <t>cot1_score</t>
  </si>
  <si>
    <t>cot2_score</t>
  </si>
  <si>
    <t>cot3_score</t>
  </si>
  <si>
    <t>cot4_score</t>
  </si>
  <si>
    <t>average</t>
  </si>
  <si>
    <t>cot_num</t>
  </si>
  <si>
    <t>subject</t>
  </si>
  <si>
    <t>date</t>
  </si>
  <si>
    <t>q</t>
  </si>
  <si>
    <t>e</t>
  </si>
  <si>
    <t>t</t>
  </si>
  <si>
    <t>weight</t>
  </si>
  <si>
    <t>score</t>
  </si>
  <si>
    <t>adjectival_rating</t>
  </si>
  <si>
    <t>competency_index</t>
  </si>
  <si>
    <t>competency_code</t>
  </si>
  <si>
    <t>functional_strengths</t>
  </si>
  <si>
    <t>behavioral_strengths</t>
  </si>
  <si>
    <t>functional_weakness</t>
  </si>
  <si>
    <t>learning_objectives</t>
  </si>
  <si>
    <t>intervention</t>
  </si>
  <si>
    <t>timeline</t>
  </si>
  <si>
    <t>resources</t>
  </si>
  <si>
    <t>behavioral_weakness</t>
  </si>
  <si>
    <t>Region</t>
  </si>
  <si>
    <t>Division</t>
  </si>
  <si>
    <t>div_code</t>
  </si>
  <si>
    <t>reg_code</t>
  </si>
  <si>
    <t>named_reference</t>
  </si>
  <si>
    <t>lookup_reference</t>
  </si>
  <si>
    <t>Offering</t>
  </si>
  <si>
    <t>Levels</t>
  </si>
  <si>
    <t>Class lookup</t>
  </si>
  <si>
    <t>BARMM</t>
  </si>
  <si>
    <t>Basilan</t>
  </si>
  <si>
    <t>BARMM-01</t>
  </si>
  <si>
    <t>Bangsamoro Autonomous Region in Muslim Mindanao (BARMM)</t>
  </si>
  <si>
    <t>BARMM_divlist</t>
  </si>
  <si>
    <t>BARMM_vlookup</t>
  </si>
  <si>
    <t>Kindergarten</t>
  </si>
  <si>
    <t>Class1</t>
  </si>
  <si>
    <t>Cotabato City</t>
  </si>
  <si>
    <t>BARMM-10</t>
  </si>
  <si>
    <t>Cordillera Administrative Region (CAR)</t>
  </si>
  <si>
    <t>CAR</t>
  </si>
  <si>
    <t>CAR_divlist</t>
  </si>
  <si>
    <t>CAR_vlookup</t>
  </si>
  <si>
    <t>Kinder to Grade 6</t>
  </si>
  <si>
    <t>Class2</t>
  </si>
  <si>
    <t>Lamitan City</t>
  </si>
  <si>
    <t>BARMM-02</t>
  </si>
  <si>
    <t>National Capital Region (NCR)</t>
  </si>
  <si>
    <t>NCR</t>
  </si>
  <si>
    <t>NCR_divlist</t>
  </si>
  <si>
    <t>NCR_vlookup</t>
  </si>
  <si>
    <t>Elementary</t>
  </si>
  <si>
    <t>Kinder to Grade 10</t>
  </si>
  <si>
    <t>Class3</t>
  </si>
  <si>
    <t>Lanao del Sur I</t>
  </si>
  <si>
    <t>BARMM-03</t>
  </si>
  <si>
    <t>I - Ilocos Region</t>
  </si>
  <si>
    <t>REG1</t>
  </si>
  <si>
    <t>REG1_divlist</t>
  </si>
  <si>
    <t>REG1_vlookup</t>
  </si>
  <si>
    <t>Kinder to Grade 12</t>
  </si>
  <si>
    <t>Class4</t>
  </si>
  <si>
    <t>Lanao del Sur II</t>
  </si>
  <si>
    <t>BARMM-04</t>
  </si>
  <si>
    <t>II - Cagayan Valley</t>
  </si>
  <si>
    <t>REG2</t>
  </si>
  <si>
    <t>REG2_divlist</t>
  </si>
  <si>
    <t>REG2_vlookup</t>
  </si>
  <si>
    <t>Kinder to Grade 6; Grade 11-12</t>
  </si>
  <si>
    <t>Class5</t>
  </si>
  <si>
    <t>Maguindanao I</t>
  </si>
  <si>
    <t>BARMM-05</t>
  </si>
  <si>
    <t>III - Central Luzon</t>
  </si>
  <si>
    <t>REG3</t>
  </si>
  <si>
    <t>REG3_divlist</t>
  </si>
  <si>
    <t>REG3_vlookup</t>
  </si>
  <si>
    <t>Junior High School</t>
  </si>
  <si>
    <t>Kinder to Grade 10 attached to Tertiary</t>
  </si>
  <si>
    <t>Class6</t>
  </si>
  <si>
    <t>Maguindanao II</t>
  </si>
  <si>
    <t>BARMM-06</t>
  </si>
  <si>
    <t>IV-A - CALABARZON</t>
  </si>
  <si>
    <t>REG4A</t>
  </si>
  <si>
    <t>REG4A_divlist</t>
  </si>
  <si>
    <t>REG4A_vlookup</t>
  </si>
  <si>
    <t>Kinder to Grade 12 attached to Tertiary</t>
  </si>
  <si>
    <t>Class7</t>
  </si>
  <si>
    <t>Marawi City</t>
  </si>
  <si>
    <t>BARMM-07</t>
  </si>
  <si>
    <t>IV-B - MIMAROPA</t>
  </si>
  <si>
    <t>REG4B</t>
  </si>
  <si>
    <t>REG4B_divlist</t>
  </si>
  <si>
    <t>REG4B_vlookup</t>
  </si>
  <si>
    <t>Kindergarten; Grade 7-10</t>
  </si>
  <si>
    <t>Class8</t>
  </si>
  <si>
    <t>Sulu 1</t>
  </si>
  <si>
    <t>BARMM-08</t>
  </si>
  <si>
    <t>V - Bicol Region</t>
  </si>
  <si>
    <t>REG5</t>
  </si>
  <si>
    <t>REG5_divlist</t>
  </si>
  <si>
    <t>REG5_vlookup</t>
  </si>
  <si>
    <t>Kindergarten; Grade 7-10; Grade 11-12</t>
  </si>
  <si>
    <t>Class9</t>
  </si>
  <si>
    <t>Tawi-Tawi</t>
  </si>
  <si>
    <t>BARMM-09</t>
  </si>
  <si>
    <t>VI - Western Visayas</t>
  </si>
  <si>
    <t>REG6</t>
  </si>
  <si>
    <t>REG6_divlist</t>
  </si>
  <si>
    <t>REG6_vlookup</t>
  </si>
  <si>
    <t>Senior High School</t>
  </si>
  <si>
    <t>Kindergarten; Grade 11-12</t>
  </si>
  <si>
    <t>Class10</t>
  </si>
  <si>
    <t>Special Geographic Areas (63 Brgys in N. Cot)</t>
  </si>
  <si>
    <t>BARMM-11</t>
  </si>
  <si>
    <t>VII - Central Visayas</t>
  </si>
  <si>
    <t>REG7</t>
  </si>
  <si>
    <t>REG7_divlist</t>
  </si>
  <si>
    <t>REG7_vlookup</t>
  </si>
  <si>
    <t>Grade 1-6</t>
  </si>
  <si>
    <t>Class11</t>
  </si>
  <si>
    <t>Abra</t>
  </si>
  <si>
    <t>CAR-01</t>
  </si>
  <si>
    <t>VIII - Eastern Visayas</t>
  </si>
  <si>
    <t>REG8</t>
  </si>
  <si>
    <t>REG8_divlist</t>
  </si>
  <si>
    <t>REG8_vlookup</t>
  </si>
  <si>
    <t>Grade 1-6; Grade 7-10</t>
  </si>
  <si>
    <t>Class12</t>
  </si>
  <si>
    <t>Apayao</t>
  </si>
  <si>
    <t>CAR-02</t>
  </si>
  <si>
    <t>IX - Zamboanga Peninsula</t>
  </si>
  <si>
    <t>REG9</t>
  </si>
  <si>
    <t>REG9_divlist</t>
  </si>
  <si>
    <t>REG9_vlookup</t>
  </si>
  <si>
    <t>Grade 1-6; Grade 11-12</t>
  </si>
  <si>
    <t>Class13</t>
  </si>
  <si>
    <t>Baguio City</t>
  </si>
  <si>
    <t>CAR-03</t>
  </si>
  <si>
    <t>X - Northern Mindanao</t>
  </si>
  <si>
    <t>REG10</t>
  </si>
  <si>
    <t>REG10_divlist</t>
  </si>
  <si>
    <t>REG10_vlookup</t>
  </si>
  <si>
    <t>Grade 1-6; Grade 7-10; Grade 11-12</t>
  </si>
  <si>
    <t>Class14</t>
  </si>
  <si>
    <t>Benguet</t>
  </si>
  <si>
    <t>CAR-04</t>
  </si>
  <si>
    <t>XI - Davao Region</t>
  </si>
  <si>
    <t>REG11</t>
  </si>
  <si>
    <t>REG11_divlist</t>
  </si>
  <si>
    <t>REG11_vlookup</t>
  </si>
  <si>
    <t>Grade 7-10</t>
  </si>
  <si>
    <t>Class15</t>
  </si>
  <si>
    <t>Ifugao</t>
  </si>
  <si>
    <t>CAR-05</t>
  </si>
  <si>
    <t>XII - SOCCSKSARGEN</t>
  </si>
  <si>
    <t>REG12</t>
  </si>
  <si>
    <t>REG12_divlist</t>
  </si>
  <si>
    <t>REG12_vlookup</t>
  </si>
  <si>
    <t>Grade 7-10; Grade 11-12</t>
  </si>
  <si>
    <t>Class16</t>
  </si>
  <si>
    <t>Kalinga</t>
  </si>
  <si>
    <t>CAR-06</t>
  </si>
  <si>
    <t>XIII - CARAGA Region</t>
  </si>
  <si>
    <t>REG13</t>
  </si>
  <si>
    <t>REG13_divlist</t>
  </si>
  <si>
    <t>REG13_vlookup</t>
  </si>
  <si>
    <t>Grade 11-12</t>
  </si>
  <si>
    <t>Class17</t>
  </si>
  <si>
    <t>Mt. Province</t>
  </si>
  <si>
    <t>CAR-07</t>
  </si>
  <si>
    <t>Community-based Learning Center</t>
  </si>
  <si>
    <t>Class18</t>
  </si>
  <si>
    <t>Tabuk City</t>
  </si>
  <si>
    <t>CAR-08</t>
  </si>
  <si>
    <t>Caloocan City</t>
  </si>
  <si>
    <t>NCR-01</t>
  </si>
  <si>
    <t>Las Pinas City</t>
  </si>
  <si>
    <t>NCR-02</t>
  </si>
  <si>
    <t>Makati City</t>
  </si>
  <si>
    <t>NCR-03</t>
  </si>
  <si>
    <t>Malabon City</t>
  </si>
  <si>
    <t>NCR-04</t>
  </si>
  <si>
    <t>Mandaluyong City</t>
  </si>
  <si>
    <t>NCR-05</t>
  </si>
  <si>
    <t>Manila</t>
  </si>
  <si>
    <t>NCR-06</t>
  </si>
  <si>
    <t>Marikina City</t>
  </si>
  <si>
    <t>NCR-07</t>
  </si>
  <si>
    <t>Muntinlupa City</t>
  </si>
  <si>
    <t>NCR-08</t>
  </si>
  <si>
    <t>Navotas City</t>
  </si>
  <si>
    <t>NCR-09</t>
  </si>
  <si>
    <t>Paranaque City</t>
  </si>
  <si>
    <t>NCR-10</t>
  </si>
  <si>
    <t>Pasay City</t>
  </si>
  <si>
    <t>NCR-11</t>
  </si>
  <si>
    <t>Pasig City</t>
  </si>
  <si>
    <t>NCR-12</t>
  </si>
  <si>
    <t>Quezon City</t>
  </si>
  <si>
    <t>NCR-13</t>
  </si>
  <si>
    <t>San Juan City</t>
  </si>
  <si>
    <t>NCR-14</t>
  </si>
  <si>
    <t>Taguig City-Pateros</t>
  </si>
  <si>
    <t>NCR-15</t>
  </si>
  <si>
    <t>Valenzuela City</t>
  </si>
  <si>
    <t>NCR-16</t>
  </si>
  <si>
    <t>Region I</t>
  </si>
  <si>
    <t>Alaminos City</t>
  </si>
  <si>
    <t>REG1-01</t>
  </si>
  <si>
    <t>Batac City</t>
  </si>
  <si>
    <t>REG1-02</t>
  </si>
  <si>
    <t>Candon City</t>
  </si>
  <si>
    <t>REG1-03</t>
  </si>
  <si>
    <t>Dagupan City</t>
  </si>
  <si>
    <t>REG1-04</t>
  </si>
  <si>
    <t>Ilocos Norte</t>
  </si>
  <si>
    <t>REG1-05</t>
  </si>
  <si>
    <t>Ilocos Sur</t>
  </si>
  <si>
    <t>REG1-06</t>
  </si>
  <si>
    <t>La Union</t>
  </si>
  <si>
    <t>REG1-07</t>
  </si>
  <si>
    <t>Laoag City</t>
  </si>
  <si>
    <t>REG1-08</t>
  </si>
  <si>
    <t>Pangasinan I</t>
  </si>
  <si>
    <t>REG1-09</t>
  </si>
  <si>
    <t>Pangasinan II</t>
  </si>
  <si>
    <t>REG1-10</t>
  </si>
  <si>
    <t>San Carlos City</t>
  </si>
  <si>
    <t>REG1-11</t>
  </si>
  <si>
    <t>San Fernando City</t>
  </si>
  <si>
    <t>REG1-12</t>
  </si>
  <si>
    <t>Urdaneta City</t>
  </si>
  <si>
    <t>REG1-13</t>
  </si>
  <si>
    <t>Vigan City</t>
  </si>
  <si>
    <t>REG1-14</t>
  </si>
  <si>
    <t>Region II</t>
  </si>
  <si>
    <t>Batanes</t>
  </si>
  <si>
    <t>REG2-01</t>
  </si>
  <si>
    <t>Cagayan</t>
  </si>
  <si>
    <t>REG2-02</t>
  </si>
  <si>
    <t>Cauayan City</t>
  </si>
  <si>
    <t>REG2-03</t>
  </si>
  <si>
    <t>Ilagan City</t>
  </si>
  <si>
    <t>REG2-04</t>
  </si>
  <si>
    <t>Isabela Province</t>
  </si>
  <si>
    <t>REG2-05</t>
  </si>
  <si>
    <t>Nueva Vizcaya</t>
  </si>
  <si>
    <t>REG2-06</t>
  </si>
  <si>
    <t>Quirino</t>
  </si>
  <si>
    <t>REG2-07</t>
  </si>
  <si>
    <t>Santiago City</t>
  </si>
  <si>
    <t>REG2-08</t>
  </si>
  <si>
    <t>Tuguegarao City</t>
  </si>
  <si>
    <t>REG2-09</t>
  </si>
  <si>
    <t>Region III</t>
  </si>
  <si>
    <t>Angeles City</t>
  </si>
  <si>
    <t>REG3-01</t>
  </si>
  <si>
    <t>Aurora</t>
  </si>
  <si>
    <t>REG3-02</t>
  </si>
  <si>
    <t>Balanga City</t>
  </si>
  <si>
    <t>REG3-03</t>
  </si>
  <si>
    <t>Bataan</t>
  </si>
  <si>
    <t>REG3-04</t>
  </si>
  <si>
    <t>Bulacan Province</t>
  </si>
  <si>
    <t>REG3-05</t>
  </si>
  <si>
    <t>Cabanatuan City</t>
  </si>
  <si>
    <t>REG3-06</t>
  </si>
  <si>
    <t>Gapan City</t>
  </si>
  <si>
    <t>REG3-07</t>
  </si>
  <si>
    <t>Mabalacat City</t>
  </si>
  <si>
    <t>REG3-08</t>
  </si>
  <si>
    <t>Malolos City</t>
  </si>
  <si>
    <t>REG3-09</t>
  </si>
  <si>
    <t>Meycauayan</t>
  </si>
  <si>
    <t>REG3-10</t>
  </si>
  <si>
    <t>Nueva Ecija</t>
  </si>
  <si>
    <t>REG3-11</t>
  </si>
  <si>
    <t>Olongapo City</t>
  </si>
  <si>
    <t>REG3-12</t>
  </si>
  <si>
    <t>Pampanga</t>
  </si>
  <si>
    <t>REG3-13</t>
  </si>
  <si>
    <t>REG3-14</t>
  </si>
  <si>
    <t>San Jose City</t>
  </si>
  <si>
    <t>REG3-15</t>
  </si>
  <si>
    <t>San Jose del Monte</t>
  </si>
  <si>
    <t>REG3-16</t>
  </si>
  <si>
    <t>Science City of Munoz</t>
  </si>
  <si>
    <t>REG3-17</t>
  </si>
  <si>
    <t>Tarlac City</t>
  </si>
  <si>
    <t>REG3-18</t>
  </si>
  <si>
    <t>Tarlac Province</t>
  </si>
  <si>
    <t>REG3-19</t>
  </si>
  <si>
    <t>Zambales</t>
  </si>
  <si>
    <t>REG3-20</t>
  </si>
  <si>
    <t>Region IV-A</t>
  </si>
  <si>
    <t>Antipolo City</t>
  </si>
  <si>
    <t>REG4A-01</t>
  </si>
  <si>
    <t>Bacoor City</t>
  </si>
  <si>
    <t>REG4A-02</t>
  </si>
  <si>
    <t>Batangas City</t>
  </si>
  <si>
    <t>REG4A-03</t>
  </si>
  <si>
    <t>Batangas Province</t>
  </si>
  <si>
    <t>REG4A-04</t>
  </si>
  <si>
    <t>Binan City</t>
  </si>
  <si>
    <t>REG4A-05</t>
  </si>
  <si>
    <t>Cabuyao City</t>
  </si>
  <si>
    <t>REG4A-06</t>
  </si>
  <si>
    <t>Calamba City</t>
  </si>
  <si>
    <t>REG4A-07</t>
  </si>
  <si>
    <t>Cavite City</t>
  </si>
  <si>
    <t>REG4A-08</t>
  </si>
  <si>
    <t>Cavite Province</t>
  </si>
  <si>
    <t>REG4A-09</t>
  </si>
  <si>
    <t>Dasmarinas City</t>
  </si>
  <si>
    <t>REG4A-10</t>
  </si>
  <si>
    <t>General Trias City</t>
  </si>
  <si>
    <t>REG4A-11</t>
  </si>
  <si>
    <t>Imus City</t>
  </si>
  <si>
    <t>REG4A-12</t>
  </si>
  <si>
    <t>Laguna</t>
  </si>
  <si>
    <t>REG4A-13</t>
  </si>
  <si>
    <t>Lipa City</t>
  </si>
  <si>
    <t>REG4A-14</t>
  </si>
  <si>
    <t>Lucena City</t>
  </si>
  <si>
    <t>REG4A-15</t>
  </si>
  <si>
    <t>Quezon Province</t>
  </si>
  <si>
    <t>REG4A-16</t>
  </si>
  <si>
    <t>Rizal</t>
  </si>
  <si>
    <t>REG4A-17</t>
  </si>
  <si>
    <t>San Pablo City</t>
  </si>
  <si>
    <t>REG4A-18</t>
  </si>
  <si>
    <t>San Pedro</t>
  </si>
  <si>
    <t>REG4A-22</t>
  </si>
  <si>
    <t>Sta. Rosa City</t>
  </si>
  <si>
    <t>REG4A-19</t>
  </si>
  <si>
    <t>Tanauan City</t>
  </si>
  <si>
    <t>REG4A-20</t>
  </si>
  <si>
    <t>Tayabas City</t>
  </si>
  <si>
    <t>REG4A-21</t>
  </si>
  <si>
    <t>Sto. Tomas City</t>
  </si>
  <si>
    <t>REG4A-23</t>
  </si>
  <si>
    <t>Region IV-B</t>
  </si>
  <si>
    <t>Calapan City</t>
  </si>
  <si>
    <t>REG4B-01</t>
  </si>
  <si>
    <t>Marinduque</t>
  </si>
  <si>
    <t>REG4B-02</t>
  </si>
  <si>
    <t>Occidental Mindoro</t>
  </si>
  <si>
    <t>REG4B-03</t>
  </si>
  <si>
    <t>Oriental Mindoro</t>
  </si>
  <si>
    <t>REG4B-04</t>
  </si>
  <si>
    <t>Palawan</t>
  </si>
  <si>
    <t>REG4B-05</t>
  </si>
  <si>
    <t>Puerto Princesa</t>
  </si>
  <si>
    <t>REG4B-06</t>
  </si>
  <si>
    <t>Romblon</t>
  </si>
  <si>
    <t>REG4B-07</t>
  </si>
  <si>
    <t>Region V</t>
  </si>
  <si>
    <t>Albay</t>
  </si>
  <si>
    <t>REG5-01</t>
  </si>
  <si>
    <t>Camarines Norte</t>
  </si>
  <si>
    <t>REG5-02</t>
  </si>
  <si>
    <t>Camarines Sur</t>
  </si>
  <si>
    <t>REG5-03</t>
  </si>
  <si>
    <t>Catanduanes</t>
  </si>
  <si>
    <t>REG5-04</t>
  </si>
  <si>
    <t>Iriga City</t>
  </si>
  <si>
    <t>REG5-05</t>
  </si>
  <si>
    <t>Legazpi City</t>
  </si>
  <si>
    <t>REG5-06</t>
  </si>
  <si>
    <t>Ligao City</t>
  </si>
  <si>
    <t>REG5-07</t>
  </si>
  <si>
    <t>Masbate Province</t>
  </si>
  <si>
    <t>REG5-08</t>
  </si>
  <si>
    <t>Masbate City</t>
  </si>
  <si>
    <t>REG5-09</t>
  </si>
  <si>
    <t>Naga City</t>
  </si>
  <si>
    <t>REG5-10</t>
  </si>
  <si>
    <t>Sorsogon City</t>
  </si>
  <si>
    <t>REG5-11</t>
  </si>
  <si>
    <t>Sorsogon Province</t>
  </si>
  <si>
    <t>REG5-12</t>
  </si>
  <si>
    <t>Tabaco City</t>
  </si>
  <si>
    <t>REG5-13</t>
  </si>
  <si>
    <t>Region VI</t>
  </si>
  <si>
    <t>Aklan</t>
  </si>
  <si>
    <t>REG6-01</t>
  </si>
  <si>
    <t>Antique</t>
  </si>
  <si>
    <t>REG6-02</t>
  </si>
  <si>
    <t>Bacolod City</t>
  </si>
  <si>
    <t>REG6-03</t>
  </si>
  <si>
    <t>Bago City</t>
  </si>
  <si>
    <t>REG6-04</t>
  </si>
  <si>
    <t>Cadiz City</t>
  </si>
  <si>
    <t>REG6-05</t>
  </si>
  <si>
    <t>Capiz</t>
  </si>
  <si>
    <t>REG6-06</t>
  </si>
  <si>
    <t>Escalante City</t>
  </si>
  <si>
    <t>REG6-07</t>
  </si>
  <si>
    <t>Guimaras</t>
  </si>
  <si>
    <t>REG6-08</t>
  </si>
  <si>
    <t>Himamaylan City</t>
  </si>
  <si>
    <t>REG6-09</t>
  </si>
  <si>
    <t>Iloilo City</t>
  </si>
  <si>
    <t>REG6-10</t>
  </si>
  <si>
    <t>Iloilo Province</t>
  </si>
  <si>
    <t>REG6-11</t>
  </si>
  <si>
    <t>Kabankalan City</t>
  </si>
  <si>
    <t>REG6-12</t>
  </si>
  <si>
    <t>La Carlota City</t>
  </si>
  <si>
    <t>REG6-13</t>
  </si>
  <si>
    <t>Negros Occidental</t>
  </si>
  <si>
    <t>REG6-14</t>
  </si>
  <si>
    <t>Passi City</t>
  </si>
  <si>
    <t>REG6-15</t>
  </si>
  <si>
    <t>Roxas City</t>
  </si>
  <si>
    <t>REG6-16</t>
  </si>
  <si>
    <t>Sagay City</t>
  </si>
  <si>
    <t>REG6-17</t>
  </si>
  <si>
    <t>REG6-18</t>
  </si>
  <si>
    <t>Silay City</t>
  </si>
  <si>
    <t>REG6-19</t>
  </si>
  <si>
    <t>Sipalay City</t>
  </si>
  <si>
    <t>REG6-20</t>
  </si>
  <si>
    <t>Victorias City</t>
  </si>
  <si>
    <t>REG6-21</t>
  </si>
  <si>
    <t>Region VII</t>
  </si>
  <si>
    <t>Bais City</t>
  </si>
  <si>
    <t>REG7-01</t>
  </si>
  <si>
    <t>Bayawan City</t>
  </si>
  <si>
    <t>REG7-02</t>
  </si>
  <si>
    <t>Bogo City</t>
  </si>
  <si>
    <t>REG7-03</t>
  </si>
  <si>
    <t>Bohol</t>
  </si>
  <si>
    <t>REG7-04</t>
  </si>
  <si>
    <t>Carcar City</t>
  </si>
  <si>
    <t>REG7-05</t>
  </si>
  <si>
    <t>Cebu City</t>
  </si>
  <si>
    <t>REG7-06</t>
  </si>
  <si>
    <t>Cebu Province</t>
  </si>
  <si>
    <t>REG7-07</t>
  </si>
  <si>
    <t>Danao</t>
  </si>
  <si>
    <t>REG7-08</t>
  </si>
  <si>
    <t>Dumaguete City</t>
  </si>
  <si>
    <t>REG7-09</t>
  </si>
  <si>
    <t>Guihulngan City</t>
  </si>
  <si>
    <t>REG7-10</t>
  </si>
  <si>
    <t xml:space="preserve">Lapu-Lapu City </t>
  </si>
  <si>
    <t>REG7-11</t>
  </si>
  <si>
    <t>Mandaue City</t>
  </si>
  <si>
    <t>REG7-12</t>
  </si>
  <si>
    <t>REG7-13</t>
  </si>
  <si>
    <t>Negros Oriental</t>
  </si>
  <si>
    <t>REG7-14</t>
  </si>
  <si>
    <t>Siquijor</t>
  </si>
  <si>
    <t>REG7-15</t>
  </si>
  <si>
    <t>Tagbilaran City</t>
  </si>
  <si>
    <t>REG7-16</t>
  </si>
  <si>
    <t>Talisay City</t>
  </si>
  <si>
    <t>REG7-17</t>
  </si>
  <si>
    <t>Tanjay City</t>
  </si>
  <si>
    <t>REG7-18</t>
  </si>
  <si>
    <t>Toledo City</t>
  </si>
  <si>
    <t>REG7-19</t>
  </si>
  <si>
    <t>Canlaon City</t>
  </si>
  <si>
    <t>REG7-20</t>
  </si>
  <si>
    <t>Region VIII</t>
  </si>
  <si>
    <t>Baybay City</t>
  </si>
  <si>
    <t>REG8-01</t>
  </si>
  <si>
    <t>Biliran</t>
  </si>
  <si>
    <t>REG8-02</t>
  </si>
  <si>
    <t>Borongan City</t>
  </si>
  <si>
    <t>REG8-03</t>
  </si>
  <si>
    <t>Calbayog City</t>
  </si>
  <si>
    <t>REG8-04</t>
  </si>
  <si>
    <t>Catbalogan City</t>
  </si>
  <si>
    <t>REG8-05</t>
  </si>
  <si>
    <t>Eastern Samar</t>
  </si>
  <si>
    <t>REG8-06</t>
  </si>
  <si>
    <t>Leyte</t>
  </si>
  <si>
    <t>REG8-07</t>
  </si>
  <si>
    <t>Maasin City</t>
  </si>
  <si>
    <t>REG8-08</t>
  </si>
  <si>
    <t>Northern Samar</t>
  </si>
  <si>
    <t>REG8-09</t>
  </si>
  <si>
    <t>Ormoc City</t>
  </si>
  <si>
    <t>REG8-10</t>
  </si>
  <si>
    <t>Southern Leyte</t>
  </si>
  <si>
    <t>REG8-11</t>
  </si>
  <si>
    <t>Tacloban City</t>
  </si>
  <si>
    <t>REG8-12</t>
  </si>
  <si>
    <t>Western Samar</t>
  </si>
  <si>
    <t>REG8-13</t>
  </si>
  <si>
    <t>Region IX</t>
  </si>
  <si>
    <t>Dapitan City</t>
  </si>
  <si>
    <t>REG9-01</t>
  </si>
  <si>
    <t>Dipolog City</t>
  </si>
  <si>
    <t>REG9-02</t>
  </si>
  <si>
    <t>Isabela City</t>
  </si>
  <si>
    <t>REG9-03</t>
  </si>
  <si>
    <t>Pagadian City</t>
  </si>
  <si>
    <t>REG9-04</t>
  </si>
  <si>
    <t>Zamboanga City</t>
  </si>
  <si>
    <t>REG9-05</t>
  </si>
  <si>
    <t>Zamboanga del Norte</t>
  </si>
  <si>
    <t>REG9-06</t>
  </si>
  <si>
    <t>Zamboanga del Sur</t>
  </si>
  <si>
    <t>REG9-07</t>
  </si>
  <si>
    <t>Zamboanga Sibugay</t>
  </si>
  <si>
    <t>REG9-08</t>
  </si>
  <si>
    <t>Region X</t>
  </si>
  <si>
    <t>Bukidnon</t>
  </si>
  <si>
    <t>REG10-01</t>
  </si>
  <si>
    <t>Cagayan de Oro City</t>
  </si>
  <si>
    <t>REG10-02</t>
  </si>
  <si>
    <t>Camiguin</t>
  </si>
  <si>
    <t>REG10-03</t>
  </si>
  <si>
    <t>El Salvador City</t>
  </si>
  <si>
    <t>REG10-04</t>
  </si>
  <si>
    <t>Gingoog City</t>
  </si>
  <si>
    <t>REG10-05</t>
  </si>
  <si>
    <t>Iligan City</t>
  </si>
  <si>
    <t>REG10-06</t>
  </si>
  <si>
    <t>Lanao Del Norte</t>
  </si>
  <si>
    <t>REG10-07</t>
  </si>
  <si>
    <t>Malaybalay City</t>
  </si>
  <si>
    <t>REG10-08</t>
  </si>
  <si>
    <t>Misamis Occidental</t>
  </si>
  <si>
    <t>REG10-09</t>
  </si>
  <si>
    <t>Misamis Oriental</t>
  </si>
  <si>
    <t>REG10-10</t>
  </si>
  <si>
    <t>Oroquieta City</t>
  </si>
  <si>
    <t>REG10-11</t>
  </si>
  <si>
    <t>Ozamiz City</t>
  </si>
  <si>
    <t>REG10-12</t>
  </si>
  <si>
    <t>Tangub City</t>
  </si>
  <si>
    <t>REG10-13</t>
  </si>
  <si>
    <t>Valencia City</t>
  </si>
  <si>
    <t>REG10-14</t>
  </si>
  <si>
    <t>Region XI</t>
  </si>
  <si>
    <t>Davao de Oro (Compostela Valley)</t>
  </si>
  <si>
    <t>REG11-01</t>
  </si>
  <si>
    <t>Davao City</t>
  </si>
  <si>
    <t>REG11-02</t>
  </si>
  <si>
    <t>Davao del Norte</t>
  </si>
  <si>
    <t>REG11-03</t>
  </si>
  <si>
    <t>Davao del Sur</t>
  </si>
  <si>
    <t>REG11-04</t>
  </si>
  <si>
    <t>Davao Occidental</t>
  </si>
  <si>
    <t>REG11-05</t>
  </si>
  <si>
    <t>Davao Oriental</t>
  </si>
  <si>
    <t>REG11-06</t>
  </si>
  <si>
    <t>Digos city</t>
  </si>
  <si>
    <t>REG11-07</t>
  </si>
  <si>
    <t>Mati City</t>
  </si>
  <si>
    <t>REG11-08</t>
  </si>
  <si>
    <t>Panabo City</t>
  </si>
  <si>
    <t>REG11-09</t>
  </si>
  <si>
    <t>Samal City</t>
  </si>
  <si>
    <t>REG11-10</t>
  </si>
  <si>
    <t>Tagum City</t>
  </si>
  <si>
    <t>REG11-11</t>
  </si>
  <si>
    <t>Region XII</t>
  </si>
  <si>
    <t>Cotabato Province</t>
  </si>
  <si>
    <t>REG12-02</t>
  </si>
  <si>
    <t>General Santos City</t>
  </si>
  <si>
    <t>REG12-03</t>
  </si>
  <si>
    <t>Kidapawan City</t>
  </si>
  <si>
    <t>REG12-04</t>
  </si>
  <si>
    <t>Koronadal City</t>
  </si>
  <si>
    <t>REG12-05</t>
  </si>
  <si>
    <t>Sarangani</t>
  </si>
  <si>
    <t>REG12-06</t>
  </si>
  <si>
    <t>South Cotabato</t>
  </si>
  <si>
    <t>REG12-07</t>
  </si>
  <si>
    <t>Sultan Kudarat</t>
  </si>
  <si>
    <t>REG12-08</t>
  </si>
  <si>
    <t>Tacurong City</t>
  </si>
  <si>
    <t>REG12-09</t>
  </si>
  <si>
    <t>Caraga</t>
  </si>
  <si>
    <t>Agusan del Norte</t>
  </si>
  <si>
    <t>REG13-01</t>
  </si>
  <si>
    <t>Agusan del Sur</t>
  </si>
  <si>
    <t>REG13-02</t>
  </si>
  <si>
    <t>Bayugan City</t>
  </si>
  <si>
    <t>REG13-03</t>
  </si>
  <si>
    <t>Bislig City</t>
  </si>
  <si>
    <t>REG13-04</t>
  </si>
  <si>
    <t>Butuan City</t>
  </si>
  <si>
    <t>REG13-05</t>
  </si>
  <si>
    <t>Cabadbaran City</t>
  </si>
  <si>
    <t>REG13-06</t>
  </si>
  <si>
    <t>Dinagat Islands</t>
  </si>
  <si>
    <t>REG13-07</t>
  </si>
  <si>
    <t>Siargao</t>
  </si>
  <si>
    <t>REG13-08</t>
  </si>
  <si>
    <t>Surigao City</t>
  </si>
  <si>
    <t>REG13-09</t>
  </si>
  <si>
    <t>Surigao del Norte</t>
  </si>
  <si>
    <t>REG13-10</t>
  </si>
  <si>
    <t>Surigao del Sur</t>
  </si>
  <si>
    <t>REG13-11</t>
  </si>
  <si>
    <t>Tandag City</t>
  </si>
  <si>
    <t>REG13-12</t>
  </si>
  <si>
    <t>HP_COT</t>
  </si>
  <si>
    <t>RPMS 5-pt scale</t>
  </si>
  <si>
    <t>P_COT</t>
  </si>
  <si>
    <t>description</t>
  </si>
  <si>
    <t>5-PT Scale</t>
  </si>
  <si>
    <t>School Type</t>
  </si>
  <si>
    <t>School Size</t>
  </si>
  <si>
    <t>classification</t>
  </si>
  <si>
    <t>level taught</t>
  </si>
  <si>
    <t>grade level</t>
  </si>
  <si>
    <t>Sex</t>
  </si>
  <si>
    <t>Employment Status</t>
  </si>
  <si>
    <t>Total Number of Years in Teaching</t>
  </si>
  <si>
    <t>Specialization</t>
  </si>
  <si>
    <t>Highest Degree Obtained</t>
  </si>
  <si>
    <t>subjects</t>
  </si>
  <si>
    <t>raters</t>
  </si>
  <si>
    <t>level_code</t>
  </si>
  <si>
    <t>type_code</t>
  </si>
  <si>
    <t>objective_type</t>
  </si>
  <si>
    <t>sy_end year when lowest rating is applied to Q when COT is incomplete</t>
  </si>
  <si>
    <t>Poor</t>
  </si>
  <si>
    <t>Urban</t>
  </si>
  <si>
    <t>Small</t>
  </si>
  <si>
    <t>kinder_list</t>
  </si>
  <si>
    <t>Teacher I</t>
  </si>
  <si>
    <t>Under 25 years old</t>
  </si>
  <si>
    <t>Male</t>
  </si>
  <si>
    <t>Regular Permanent</t>
  </si>
  <si>
    <t>0-3 years</t>
  </si>
  <si>
    <t>English</t>
  </si>
  <si>
    <t>Bachelor's Degree</t>
  </si>
  <si>
    <t>All Subjects</t>
  </si>
  <si>
    <t>Schools Division Superintendent</t>
  </si>
  <si>
    <t>Proficient</t>
  </si>
  <si>
    <t>P</t>
  </si>
  <si>
    <t>Regular Teacher</t>
  </si>
  <si>
    <t>R</t>
  </si>
  <si>
    <t>COI</t>
  </si>
  <si>
    <t>Unsatisfactory</t>
  </si>
  <si>
    <t>Rural</t>
  </si>
  <si>
    <t>Medium</t>
  </si>
  <si>
    <t>elemgrade_list</t>
  </si>
  <si>
    <t>Grade 1</t>
  </si>
  <si>
    <t>Teacher II</t>
  </si>
  <si>
    <t>25-30</t>
  </si>
  <si>
    <t>Female</t>
  </si>
  <si>
    <t>Provisional</t>
  </si>
  <si>
    <t>4-10 years</t>
  </si>
  <si>
    <t>Filipino</t>
  </si>
  <si>
    <t>Master's Degree</t>
  </si>
  <si>
    <t>MTB-MLE</t>
  </si>
  <si>
    <t>Assistant Schools Division Superintendent</t>
  </si>
  <si>
    <t>Highly Proficient</t>
  </si>
  <si>
    <t>HP</t>
  </si>
  <si>
    <t>Full-time Teacher Broadcaster</t>
  </si>
  <si>
    <t>TB</t>
  </si>
  <si>
    <t>NCOI</t>
  </si>
  <si>
    <t>Satisfactory</t>
  </si>
  <si>
    <t>Large</t>
  </si>
  <si>
    <t>jhsgrade_list</t>
  </si>
  <si>
    <t>Grade 2</t>
  </si>
  <si>
    <t>Teacher III</t>
  </si>
  <si>
    <t>31-35</t>
  </si>
  <si>
    <t>Substitute</t>
  </si>
  <si>
    <t>More than 10 years</t>
  </si>
  <si>
    <t>Mathematics</t>
  </si>
  <si>
    <t>Doctorate Degree</t>
  </si>
  <si>
    <t>Madrasah ALIVE</t>
  </si>
  <si>
    <t>CID Chief</t>
  </si>
  <si>
    <t>lowest rating if not met</t>
  </si>
  <si>
    <t>Very Satisfactory</t>
  </si>
  <si>
    <t>Very Large</t>
  </si>
  <si>
    <t>shsgrade_list</t>
  </si>
  <si>
    <t>Grade 3</t>
  </si>
  <si>
    <t>Instructor I</t>
  </si>
  <si>
    <t>36-40</t>
  </si>
  <si>
    <t>Contractual</t>
  </si>
  <si>
    <t>General Science</t>
  </si>
  <si>
    <t>Education Program Supervisor</t>
  </si>
  <si>
    <t>Outstanding</t>
  </si>
  <si>
    <t>Grade 4</t>
  </si>
  <si>
    <t>Instructor II</t>
  </si>
  <si>
    <t>41-45</t>
  </si>
  <si>
    <t>Biology</t>
  </si>
  <si>
    <t>Education Program Specialist II</t>
  </si>
  <si>
    <t>indicator_type</t>
  </si>
  <si>
    <t>Grade 5</t>
  </si>
  <si>
    <t>Special Science Teacher I</t>
  </si>
  <si>
    <t>46-50</t>
  </si>
  <si>
    <t>Chemistry</t>
  </si>
  <si>
    <t>Public Schools District Supervisor</t>
  </si>
  <si>
    <t>Grade 6</t>
  </si>
  <si>
    <t>Special Science Teacher II</t>
  </si>
  <si>
    <t>51-55</t>
  </si>
  <si>
    <t>Physics</t>
  </si>
  <si>
    <t>Science</t>
  </si>
  <si>
    <t>Principal IV</t>
  </si>
  <si>
    <t>SPED</t>
  </si>
  <si>
    <t>SPET I</t>
  </si>
  <si>
    <t>Over 55 years old</t>
  </si>
  <si>
    <t>Social Science</t>
  </si>
  <si>
    <t>Araling Panlipunan</t>
  </si>
  <si>
    <t>Principal III</t>
  </si>
  <si>
    <t>COI/NCOI</t>
  </si>
  <si>
    <t>Multigrade</t>
  </si>
  <si>
    <t>SPET II</t>
  </si>
  <si>
    <t>Early Childhood Education</t>
  </si>
  <si>
    <t>Edukasyon sa Pagpapakatao</t>
  </si>
  <si>
    <t>Principal II</t>
  </si>
  <si>
    <t>Grade 7</t>
  </si>
  <si>
    <t>SPET III</t>
  </si>
  <si>
    <t>Values Education</t>
  </si>
  <si>
    <t>MAPEH</t>
  </si>
  <si>
    <t>Principal I</t>
  </si>
  <si>
    <t>Grade 8</t>
  </si>
  <si>
    <t>SPET IV</t>
  </si>
  <si>
    <t>Music</t>
  </si>
  <si>
    <t>Assistant School Principal I</t>
  </si>
  <si>
    <t>Grade 9</t>
  </si>
  <si>
    <t>Master Teacher I</t>
  </si>
  <si>
    <t>Arts</t>
  </si>
  <si>
    <t>Assistant School Principal II</t>
  </si>
  <si>
    <t>Grade 10</t>
  </si>
  <si>
    <t>Master Teacher II</t>
  </si>
  <si>
    <t>Physical Education</t>
  </si>
  <si>
    <t>Special School Principal I</t>
  </si>
  <si>
    <t>Grade 11</t>
  </si>
  <si>
    <t>Master Teacher III</t>
  </si>
  <si>
    <t>Health</t>
  </si>
  <si>
    <t>Special School Principal II</t>
  </si>
  <si>
    <t>Grade 12</t>
  </si>
  <si>
    <t>Master Teacher IV</t>
  </si>
  <si>
    <t>TLE/EPP-HE</t>
  </si>
  <si>
    <t>Vocational School Administrator I</t>
  </si>
  <si>
    <t>Special Science Teacher III</t>
  </si>
  <si>
    <t>TLE/HE/TVL</t>
  </si>
  <si>
    <t>TLE/EPP-LE/Tech-Voc</t>
  </si>
  <si>
    <t>Vocational School Administrator II</t>
  </si>
  <si>
    <t>Special Science Teacher IV</t>
  </si>
  <si>
    <t>ALS</t>
  </si>
  <si>
    <t>Head Teacher VI</t>
  </si>
  <si>
    <t>Special Science Teacher V</t>
  </si>
  <si>
    <t>IPED</t>
  </si>
  <si>
    <t>Head Teacher V</t>
  </si>
  <si>
    <t>Special Programs</t>
  </si>
  <si>
    <t>Head Teacher IV</t>
  </si>
  <si>
    <t>SPET V</t>
  </si>
  <si>
    <t>No Classroom Observation (w/ valid reason per DM 008, s. 2023 items 22 &amp; 23)</t>
  </si>
  <si>
    <t>Head Teacher III</t>
  </si>
  <si>
    <t>No Classroom Observation (invalid reason)</t>
  </si>
  <si>
    <t>Head Teacher II</t>
  </si>
  <si>
    <t>ACAD-ABM</t>
  </si>
  <si>
    <t>Head Teacher I</t>
  </si>
  <si>
    <t>ACAD-HUMSS</t>
  </si>
  <si>
    <t>ACAD-STEM</t>
  </si>
  <si>
    <t>ACAD-General Academic</t>
  </si>
  <si>
    <t>ACAD-Pre-Baccalaureate Maritime</t>
  </si>
  <si>
    <t>TVL-Agri-Fishery</t>
  </si>
  <si>
    <t>Officer-in-Charge</t>
  </si>
  <si>
    <t>TVL-HE</t>
  </si>
  <si>
    <t>Teacher-in-Charge</t>
  </si>
  <si>
    <t>TVL-ICT</t>
  </si>
  <si>
    <t>TVL-Industrial Arts</t>
  </si>
  <si>
    <t>TVL-Maritime</t>
  </si>
  <si>
    <t>Sports</t>
  </si>
  <si>
    <t>Arts and Design</t>
  </si>
  <si>
    <t>This is the official tool that will be used by DepEd teachers in the preparation of their Individual Performance Commitmment and Review Forms.</t>
  </si>
  <si>
    <t>To begin using this tool, you need to set the details below. In the next page, you will need to select the objectives you'd like to include in the IPCRF.</t>
  </si>
  <si>
    <t>save attempted</t>
  </si>
  <si>
    <t>all valid?</t>
  </si>
  <si>
    <t>Set School Year:</t>
  </si>
  <si>
    <t>-</t>
  </si>
  <si>
    <t>*</t>
  </si>
  <si>
    <t>SY</t>
  </si>
  <si>
    <t>Select Career Stage:</t>
  </si>
  <si>
    <t>Help:</t>
  </si>
  <si>
    <t>Proficient Teacher</t>
  </si>
  <si>
    <t>Professionally independent in the application of skills vital to the teaching and learning process. They provide focused teaching programs that meet curriculum and assessment requirements. They display skills in planning, implementing, and managing learning programs. They actively engage in collaborative learning with the professional community and other stakeholders for mutual growth and advancement. They
are reflective practitioners who continually consolidate the knowledge, skills, and practices of Career Stage 1 teachers.</t>
  </si>
  <si>
    <t>Highly Proficient Teacher</t>
  </si>
  <si>
    <t>Consistently display a high level of performance in their teaching practice. They manifest an in-depth and sophisticated understanding of the teaching and learning process. They have high education-focused situation cognition, are more adept in problem
solving and optimize opportunities gained from experience. Career Stage 3 Teachers work collaboratively with colleagues and provide them support and mentoring to enhance their learning and practice. They continually seek to develop their professional knowledge and practice by reflecting on their own needs, and those of their colleagues and students.</t>
  </si>
  <si>
    <t>Teacher Type:</t>
  </si>
  <si>
    <t>teacher_type_list</t>
  </si>
  <si>
    <t>Persons who are engaged in classroom teaching and/or any learning delivery mode, who are responsible for the delivery of quality basic education services through effective application of skills vital to the teaching and learning process. Regular teachers are expected to facilitate the basic education curriculum, create a conducive environment for the teaching-learning process, and assess the academic performance of learners.</t>
  </si>
  <si>
    <t>Teachers who are responsible for the nationwide delivery of quality basic education services through DepEd TV, DepEd Radio, and DepEd Teleradyo. They are teachers who were reassigned to the Central Office to perform full-time functions of a Teacher Broadcaster.</t>
  </si>
  <si>
    <t>Set Required Class Observations:</t>
  </si>
  <si>
    <t>COT</t>
  </si>
  <si>
    <t>Select PPST Indicators for Proficient Regular Teacher</t>
  </si>
  <si>
    <t>valid?</t>
  </si>
  <si>
    <t>Strand</t>
  </si>
  <si>
    <t>PPST Indicators</t>
  </si>
  <si>
    <t>CO</t>
  </si>
  <si>
    <t>YR</t>
  </si>
  <si>
    <t>Select</t>
  </si>
  <si>
    <t>Weight</t>
  </si>
  <si>
    <t>selected?</t>
  </si>
  <si>
    <t>Admin COI/NCOI</t>
  </si>
  <si>
    <t>COT 1</t>
  </si>
  <si>
    <t>COT 2</t>
  </si>
  <si>
    <t>COT 3</t>
  </si>
  <si>
    <t>COT 4</t>
  </si>
  <si>
    <t>1 - enable
0 - disable</t>
  </si>
  <si>
    <t>Domain 1. Content Knowledge and Pedagogy</t>
  </si>
  <si>
    <t>Domain 2. Learning Environment</t>
  </si>
  <si>
    <t>Domain 3. Diversity of Learners</t>
  </si>
  <si>
    <t>Domain 4. Curriculum and Planning</t>
  </si>
  <si>
    <t>Domain 5. Assessment and Reporting</t>
  </si>
  <si>
    <t>Domain 6. Community Linkages and Professional Engagement</t>
  </si>
  <si>
    <t>Domain 7. Personal Growth and Professional Development</t>
  </si>
  <si>
    <t>Plus factor</t>
  </si>
  <si>
    <t>selected:</t>
  </si>
  <si>
    <t>total:</t>
  </si>
  <si>
    <t>Select PPST Indicators for Highly Proficient Regular Teacher</t>
  </si>
  <si>
    <t>Select PPST Indicators for Proficient Teacher Broadcaster</t>
  </si>
  <si>
    <t>Select PPST Indicators for Highly Proficient Teacher Broadcaster</t>
  </si>
  <si>
    <t>This electronic IPCRF Tool is set with the details below. Select a career stage to view the objectives set for this tool. Please review and click Proceed to start using the tool.</t>
  </si>
  <si>
    <t>SY:</t>
  </si>
  <si>
    <t>validate attempt</t>
  </si>
  <si>
    <t>competency_level</t>
  </si>
  <si>
    <t>Objectives:</t>
  </si>
  <si>
    <t>MS Office version:</t>
  </si>
  <si>
    <t>#</t>
  </si>
  <si>
    <t>show</t>
  </si>
  <si>
    <t>domain</t>
  </si>
  <si>
    <t>kra_check</t>
  </si>
  <si>
    <t>KRA</t>
  </si>
  <si>
    <t>Objective</t>
  </si>
  <si>
    <t>CHECK DROPDOWN OPTIONS</t>
  </si>
  <si>
    <t>index</t>
  </si>
  <si>
    <t>regions_list</t>
  </si>
  <si>
    <t>SCHOOL INFORMATION</t>
  </si>
  <si>
    <t>DEMOGRAPHIC PROFILE</t>
  </si>
  <si>
    <t>school_type_list</t>
  </si>
  <si>
    <t>school_size_list</t>
  </si>
  <si>
    <t>Region:</t>
  </si>
  <si>
    <t>Last Name:</t>
  </si>
  <si>
    <t/>
  </si>
  <si>
    <t>Number of Years in Teaching:</t>
  </si>
  <si>
    <t>curricular_classification_list</t>
  </si>
  <si>
    <t>Division:</t>
  </si>
  <si>
    <t>First Name:</t>
  </si>
  <si>
    <t>Highest Degree Obtained:</t>
  </si>
  <si>
    <t>District/Municipality:</t>
  </si>
  <si>
    <t>Middle Name:</t>
  </si>
  <si>
    <t>emp_status_list</t>
  </si>
  <si>
    <r>
      <rPr>
        <sz val="9"/>
        <color theme="1" tint="0.34998626667073579"/>
        <rFont val="Arial"/>
        <family val="2"/>
      </rPr>
      <t>(</t>
    </r>
    <r>
      <rPr>
        <i/>
        <sz val="9"/>
        <color theme="1" tint="0.34998626667073579"/>
        <rFont val="Arial"/>
        <family val="2"/>
      </rPr>
      <t>optional for ALS-CLC</t>
    </r>
    <r>
      <rPr>
        <sz val="9"/>
        <color theme="1" tint="0.34998626667073579"/>
        <rFont val="Arial"/>
        <family val="2"/>
      </rPr>
      <t>)</t>
    </r>
    <r>
      <rPr>
        <b/>
        <sz val="12"/>
        <color rgb="FF000000"/>
        <rFont val="Arial"/>
        <family val="2"/>
      </rPr>
      <t xml:space="preserve"> School ID:</t>
    </r>
  </si>
  <si>
    <t>Employee ID:</t>
  </si>
  <si>
    <t>Level Taught:</t>
  </si>
  <si>
    <t>age_list</t>
  </si>
  <si>
    <t>CLC / School Name:</t>
  </si>
  <si>
    <t>Position:</t>
  </si>
  <si>
    <t>DepEd Email Address:</t>
  </si>
  <si>
    <t>sex_list</t>
  </si>
  <si>
    <r>
      <rPr>
        <sz val="9"/>
        <color theme="1" tint="0.34998626667073579"/>
        <rFont val="Arial"/>
        <family val="2"/>
      </rPr>
      <t>(</t>
    </r>
    <r>
      <rPr>
        <i/>
        <sz val="9"/>
        <color theme="1" tint="0.34998626667073579"/>
        <rFont val="Arial"/>
        <family val="2"/>
      </rPr>
      <t>optional for ALS-CLC</t>
    </r>
    <r>
      <rPr>
        <sz val="9"/>
        <color theme="1" tint="0.34998626667073579"/>
        <rFont val="Arial"/>
        <family val="2"/>
      </rPr>
      <t>)</t>
    </r>
    <r>
      <rPr>
        <b/>
        <sz val="12"/>
        <color rgb="FF000000"/>
        <rFont val="Arial"/>
        <family val="2"/>
      </rPr>
      <t xml:space="preserve"> School Type:</t>
    </r>
  </si>
  <si>
    <t>Employment Status:</t>
  </si>
  <si>
    <t>TIN:</t>
  </si>
  <si>
    <r>
      <rPr>
        <sz val="9"/>
        <color theme="1" tint="0.34998626667073579"/>
        <rFont val="Arial"/>
        <family val="2"/>
      </rPr>
      <t>(</t>
    </r>
    <r>
      <rPr>
        <i/>
        <sz val="9"/>
        <color theme="1" tint="0.34998626667073579"/>
        <rFont val="Arial"/>
        <family val="2"/>
      </rPr>
      <t>optional for ALS-CLC</t>
    </r>
    <r>
      <rPr>
        <sz val="9"/>
        <color theme="1" tint="0.34998626667073579"/>
        <rFont val="Arial"/>
        <family val="2"/>
      </rPr>
      <t>)</t>
    </r>
    <r>
      <rPr>
        <b/>
        <sz val="12"/>
        <color rgb="FF000000"/>
        <rFont val="Arial"/>
        <family val="2"/>
      </rPr>
      <t xml:space="preserve"> School Size:</t>
    </r>
  </si>
  <si>
    <t>Age:</t>
  </si>
  <si>
    <t>degree_list</t>
  </si>
  <si>
    <t>Curricular Classification:</t>
  </si>
  <si>
    <t>•*</t>
  </si>
  <si>
    <t>Sex:</t>
  </si>
  <si>
    <r>
      <rPr>
        <b/>
        <i/>
        <sz val="11"/>
        <color rgb="FFC00000"/>
        <rFont val="Arial"/>
        <family val="2"/>
      </rPr>
      <t>•</t>
    </r>
    <r>
      <rPr>
        <i/>
        <sz val="11"/>
        <color rgb="FFC00000"/>
        <rFont val="Arial"/>
        <family val="2"/>
      </rPr>
      <t xml:space="preserve"> For ALS, select </t>
    </r>
    <r>
      <rPr>
        <b/>
        <i/>
        <sz val="11"/>
        <color rgb="FFC00000"/>
        <rFont val="Arial"/>
        <family val="2"/>
      </rPr>
      <t>Community-based Learning Center</t>
    </r>
    <r>
      <rPr>
        <i/>
        <sz val="11"/>
        <color rgb="FFC00000"/>
        <rFont val="Arial"/>
        <family val="2"/>
      </rPr>
      <t xml:space="preserve"> in the </t>
    </r>
    <r>
      <rPr>
        <b/>
        <i/>
        <sz val="11"/>
        <color rgb="FFC00000"/>
        <rFont val="Arial"/>
        <family val="2"/>
      </rPr>
      <t>Curricular Classification</t>
    </r>
    <r>
      <rPr>
        <i/>
        <sz val="11"/>
        <color rgb="FFC00000"/>
        <rFont val="Arial"/>
        <family val="2"/>
      </rPr>
      <t xml:space="preserve"> field and leave optional school data fields blank (school ID, type, size) if the CLC is non-school-based.</t>
    </r>
  </si>
  <si>
    <r>
      <rPr>
        <b/>
        <i/>
        <sz val="11"/>
        <color rgb="FFC00000"/>
        <rFont val="Arial"/>
        <family val="2"/>
      </rPr>
      <t>*</t>
    </r>
    <r>
      <rPr>
        <i/>
        <sz val="11"/>
        <color rgb="FFC00000"/>
        <rFont val="Arial"/>
        <family val="2"/>
      </rPr>
      <t xml:space="preserve"> Required</t>
    </r>
  </si>
  <si>
    <r>
      <t>GRADE LEVEL(S) TAUGHT</t>
    </r>
    <r>
      <rPr>
        <b/>
        <sz val="12"/>
        <color rgb="FFFF0000"/>
        <rFont val="Arial"/>
        <family val="2"/>
      </rPr>
      <t>*</t>
    </r>
    <r>
      <rPr>
        <b/>
        <sz val="12"/>
        <color theme="1"/>
        <rFont val="Arial"/>
        <family val="2"/>
      </rPr>
      <t xml:space="preserve">
</t>
    </r>
    <r>
      <rPr>
        <sz val="11"/>
        <color theme="1"/>
        <rFont val="Arial"/>
        <family val="2"/>
      </rPr>
      <t>Please tick all the boxes that apply.</t>
    </r>
  </si>
  <si>
    <r>
      <rPr>
        <sz val="12"/>
        <color theme="1"/>
        <rFont val="Arial"/>
        <family val="2"/>
      </rPr>
      <t xml:space="preserve">Multigrade </t>
    </r>
    <r>
      <rPr>
        <sz val="10"/>
        <color theme="1"/>
        <rFont val="Arial"/>
        <family val="2"/>
      </rPr>
      <t>(2 or more grade levels in a class)</t>
    </r>
  </si>
  <si>
    <t xml:space="preserve">   (if multigrade, select two or more grades)</t>
  </si>
  <si>
    <r>
      <t>AREA(S) OF SPECIALIZATION</t>
    </r>
    <r>
      <rPr>
        <b/>
        <sz val="12"/>
        <color rgb="FFFF0000"/>
        <rFont val="Arial"/>
        <family val="2"/>
      </rPr>
      <t>*</t>
    </r>
    <r>
      <rPr>
        <b/>
        <sz val="12"/>
        <color theme="1"/>
        <rFont val="Arial"/>
        <family val="2"/>
      </rPr>
      <t xml:space="preserve">
</t>
    </r>
    <r>
      <rPr>
        <sz val="11"/>
        <color theme="1"/>
        <rFont val="Arial"/>
        <family val="2"/>
      </rPr>
      <t>Please tick all the boxes that apply.</t>
    </r>
  </si>
  <si>
    <t>Others (specify)</t>
  </si>
  <si>
    <r>
      <t>SUBJECT(S) TAUGHT</t>
    </r>
    <r>
      <rPr>
        <b/>
        <sz val="12"/>
        <color rgb="FFFF0000"/>
        <rFont val="Arial"/>
        <family val="2"/>
      </rPr>
      <t>*</t>
    </r>
    <r>
      <rPr>
        <b/>
        <sz val="12"/>
        <color theme="1"/>
        <rFont val="Arial"/>
        <family val="2"/>
      </rPr>
      <t xml:space="preserve">
</t>
    </r>
    <r>
      <rPr>
        <sz val="11"/>
        <color theme="1"/>
        <rFont val="Arial"/>
        <family val="2"/>
      </rPr>
      <t>Please tick all the boxes that apply.</t>
    </r>
  </si>
  <si>
    <t xml:space="preserve">   (i.e. Journalism and Foreign Language)</t>
  </si>
  <si>
    <r>
      <t>STRAND(S) TAUGHT</t>
    </r>
    <r>
      <rPr>
        <b/>
        <sz val="12"/>
        <color rgb="FFFF0000"/>
        <rFont val="Arial"/>
        <family val="2"/>
      </rPr>
      <t>*</t>
    </r>
    <r>
      <rPr>
        <b/>
        <sz val="12"/>
        <color theme="1"/>
        <rFont val="Arial"/>
        <family val="2"/>
      </rPr>
      <t xml:space="preserve">
</t>
    </r>
    <r>
      <rPr>
        <sz val="11"/>
        <color theme="1"/>
        <rFont val="Arial"/>
        <family val="2"/>
      </rPr>
      <t>Please tick all the boxes that apply.</t>
    </r>
  </si>
  <si>
    <t>Arts &amp; Design</t>
  </si>
  <si>
    <t>name_locked</t>
  </si>
  <si>
    <t>save attempt</t>
  </si>
  <si>
    <t>area of specialization</t>
  </si>
  <si>
    <t>subjects taught</t>
  </si>
  <si>
    <t>Grade Level(s) Taught</t>
  </si>
  <si>
    <t>Area(s) of Specialization</t>
  </si>
  <si>
    <t>Subject(s) Taught</t>
  </si>
  <si>
    <t>Strands Taught</t>
  </si>
  <si>
    <t>grades taught</t>
  </si>
  <si>
    <t>strands taught</t>
  </si>
  <si>
    <t>validation helpers for conditional formatting</t>
  </si>
  <si>
    <t>region:</t>
  </si>
  <si>
    <t>last:</t>
  </si>
  <si>
    <t>years experience:</t>
  </si>
  <si>
    <t>division:</t>
  </si>
  <si>
    <t>first:</t>
  </si>
  <si>
    <t>highest degree obtained:</t>
  </si>
  <si>
    <t>municipality:</t>
  </si>
  <si>
    <t>middle:</t>
  </si>
  <si>
    <t>school ID:</t>
  </si>
  <si>
    <t>id:</t>
  </si>
  <si>
    <t>level taught:</t>
  </si>
  <si>
    <t>school name:</t>
  </si>
  <si>
    <t>position:</t>
  </si>
  <si>
    <t>deped email:</t>
  </si>
  <si>
    <t>school type</t>
  </si>
  <si>
    <t>status:</t>
  </si>
  <si>
    <t>school size</t>
  </si>
  <si>
    <t>age:</t>
  </si>
  <si>
    <t>classification:</t>
  </si>
  <si>
    <t>sex:</t>
  </si>
  <si>
    <t>School</t>
  </si>
  <si>
    <t>Ratee</t>
  </si>
  <si>
    <t>School ID:</t>
  </si>
  <si>
    <t>School Type:</t>
  </si>
  <si>
    <t>School Size:</t>
  </si>
  <si>
    <t>DepEd Email:</t>
  </si>
  <si>
    <t>MS Office Version:</t>
  </si>
  <si>
    <t>Status:</t>
  </si>
  <si>
    <t>Part 1:</t>
  </si>
  <si>
    <t>Part 2:</t>
  </si>
  <si>
    <t>Part 3:</t>
  </si>
  <si>
    <t>* For privacy, rater/ratee may hide/unhide all the IPCRF Parts</t>
  </si>
  <si>
    <t>Part 4:</t>
  </si>
  <si>
    <t>PART 1: INDIVIDUAL PERFORMANCE COMMITMENT AND REVIEW FORM</t>
  </si>
  <si>
    <t>validation helpers</t>
  </si>
  <si>
    <t>Q</t>
  </si>
  <si>
    <t>S</t>
  </si>
  <si>
    <t>T</t>
  </si>
  <si>
    <t>U</t>
  </si>
  <si>
    <t>V</t>
  </si>
  <si>
    <t>W</t>
  </si>
  <si>
    <t>X</t>
  </si>
  <si>
    <t>Y</t>
  </si>
  <si>
    <t>Z</t>
  </si>
  <si>
    <t>AA</t>
  </si>
  <si>
    <t>AB</t>
  </si>
  <si>
    <t>AC</t>
  </si>
  <si>
    <t>AD</t>
  </si>
  <si>
    <t>AE</t>
  </si>
  <si>
    <t>AF</t>
  </si>
  <si>
    <t>AG</t>
  </si>
  <si>
    <t>Name of Employee:</t>
  </si>
  <si>
    <r>
      <rPr>
        <b/>
        <sz val="12"/>
        <color rgb="FFFF0000"/>
        <rFont val="Arial"/>
        <family val="2"/>
      </rPr>
      <t>*</t>
    </r>
    <r>
      <rPr>
        <b/>
        <sz val="12"/>
        <color theme="1"/>
        <rFont val="Arial"/>
        <family val="2"/>
      </rPr>
      <t xml:space="preserve"> RATER Last Name:</t>
    </r>
  </si>
  <si>
    <r>
      <rPr>
        <b/>
        <sz val="12"/>
        <color rgb="FFFF0000"/>
        <rFont val="Arial"/>
        <family val="2"/>
      </rPr>
      <t>*</t>
    </r>
    <r>
      <rPr>
        <b/>
        <sz val="12"/>
        <color theme="1"/>
        <rFont val="Arial"/>
        <family val="2"/>
      </rPr>
      <t xml:space="preserve"> First:</t>
    </r>
  </si>
  <si>
    <t>Middle:</t>
  </si>
  <si>
    <t>drop down selection check</t>
  </si>
  <si>
    <r>
      <rPr>
        <b/>
        <sz val="12"/>
        <color rgb="FFFF0000"/>
        <rFont val="Arial"/>
        <family val="2"/>
      </rPr>
      <t>*</t>
    </r>
    <r>
      <rPr>
        <b/>
        <sz val="12"/>
        <color theme="1"/>
        <rFont val="Arial"/>
        <family val="2"/>
      </rPr>
      <t xml:space="preserve"> Position:</t>
    </r>
  </si>
  <si>
    <r>
      <rPr>
        <b/>
        <sz val="12"/>
        <color rgb="FFFF0000"/>
        <rFont val="Arial"/>
        <family val="2"/>
      </rPr>
      <t>*</t>
    </r>
    <r>
      <rPr>
        <b/>
        <sz val="12"/>
        <color theme="1"/>
        <rFont val="Arial"/>
        <family val="2"/>
      </rPr>
      <t xml:space="preserve"> DepEd Email:</t>
    </r>
  </si>
  <si>
    <t>raterpositions_list</t>
  </si>
  <si>
    <t>Bureau/Center/Service/Division:</t>
  </si>
  <si>
    <r>
      <rPr>
        <b/>
        <sz val="12"/>
        <color rgb="FFFF0000"/>
        <rFont val="Arial"/>
        <family val="2"/>
      </rPr>
      <t>*</t>
    </r>
    <r>
      <rPr>
        <b/>
        <sz val="12"/>
        <color theme="1"/>
        <rFont val="Arial"/>
        <family val="2"/>
      </rPr>
      <t xml:space="preserve"> Date of Review:</t>
    </r>
  </si>
  <si>
    <t>approvingpositions_list</t>
  </si>
  <si>
    <t>Rating Period:</t>
  </si>
  <si>
    <t>ALL RATINGS VALID?</t>
  </si>
  <si>
    <t>required</t>
  </si>
  <si>
    <t>FINALIZE ATTEMPTED? SHOW ERROR PROMPTS?</t>
  </si>
  <si>
    <t>enable subject input</t>
  </si>
  <si>
    <t>enable ratings input</t>
  </si>
  <si>
    <t>COT dropdown check</t>
  </si>
  <si>
    <t>expected input</t>
  </si>
  <si>
    <t>filled input</t>
  </si>
  <si>
    <t>COT count</t>
  </si>
  <si>
    <t>COT INC</t>
  </si>
  <si>
    <t>count inc valid</t>
  </si>
  <si>
    <t>count invalid</t>
  </si>
  <si>
    <t>terminate</t>
  </si>
  <si>
    <t>done</t>
  </si>
  <si>
    <t>Objectives</t>
  </si>
  <si>
    <t>PPST</t>
  </si>
  <si>
    <r>
      <t xml:space="preserve">COI/NCOI
</t>
    </r>
    <r>
      <rPr>
        <sz val="7.5"/>
        <color theme="1"/>
        <rFont val="Arial"/>
        <family val="2"/>
      </rPr>
      <t>*Classroom Observable Indicator / Non-Classroom Observable Indicator</t>
    </r>
  </si>
  <si>
    <t>Weight per Objective</t>
  </si>
  <si>
    <t>COT Indicator No.</t>
  </si>
  <si>
    <t>Ave</t>
  </si>
  <si>
    <t>IPCRF Numerical Ratings</t>
  </si>
  <si>
    <t>Score</t>
  </si>
  <si>
    <t>Adjectival
Rating</t>
  </si>
  <si>
    <t>index:</t>
  </si>
  <si>
    <t>ENABLE?</t>
  </si>
  <si>
    <t>conditional formatting helpers - black</t>
  </si>
  <si>
    <t>value:</t>
  </si>
  <si>
    <t>??</t>
  </si>
  <si>
    <t>type</t>
  </si>
  <si>
    <t>type selected</t>
  </si>
  <si>
    <t>kra_start</t>
  </si>
  <si>
    <t>ind selected</t>
  </si>
  <si>
    <t>Q2</t>
  </si>
  <si>
    <t>E</t>
  </si>
  <si>
    <t>COT helper</t>
  </si>
  <si>
    <t>Rating</t>
  </si>
  <si>
    <t>RPMS 5-pt Scale</t>
  </si>
  <si>
    <t>COT1</t>
  </si>
  <si>
    <t>COT2</t>
  </si>
  <si>
    <t>COT3</t>
  </si>
  <si>
    <t>COT4</t>
  </si>
  <si>
    <t>expected rating count</t>
  </si>
  <si>
    <t>number of valid inc</t>
  </si>
  <si>
    <t>cot divisor</t>
  </si>
  <si>
    <t>Date Observed:</t>
  </si>
  <si>
    <t>Final Rating</t>
  </si>
  <si>
    <t>COT Status:</t>
  </si>
  <si>
    <t>Adjectival Rating</t>
  </si>
  <si>
    <t>Rater:</t>
  </si>
  <si>
    <t>Approving Authority:</t>
  </si>
  <si>
    <r>
      <rPr>
        <b/>
        <sz val="12"/>
        <color rgb="FFFF0000"/>
        <rFont val="Arial Narrow"/>
        <family val="2"/>
      </rPr>
      <t>*</t>
    </r>
    <r>
      <rPr>
        <b/>
        <sz val="12"/>
        <color theme="1"/>
        <rFont val="Arial Narrow"/>
        <family val="2"/>
      </rPr>
      <t xml:space="preserve"> Last:</t>
    </r>
  </si>
  <si>
    <r>
      <rPr>
        <b/>
        <sz val="12"/>
        <color rgb="FFFF0000"/>
        <rFont val="Arial Narrow"/>
        <family val="2"/>
      </rPr>
      <t>*</t>
    </r>
    <r>
      <rPr>
        <b/>
        <sz val="12"/>
        <color theme="1"/>
        <rFont val="Arial Narrow"/>
        <family val="2"/>
      </rPr>
      <t xml:space="preserve"> First:</t>
    </r>
  </si>
  <si>
    <r>
      <rPr>
        <b/>
        <sz val="12"/>
        <color rgb="FFFF0000"/>
        <rFont val="Arial"/>
        <family val="2"/>
      </rPr>
      <t>*</t>
    </r>
    <r>
      <rPr>
        <b/>
        <sz val="12"/>
        <color theme="1"/>
        <rFont val="Arial"/>
        <family val="2"/>
      </rPr>
      <t xml:space="preserve"> Email:</t>
    </r>
  </si>
  <si>
    <t>PART 2: CORE BEHAVIORAL COMPETENCIES</t>
  </si>
  <si>
    <t>1. SELF-MANAGEMENT</t>
  </si>
  <si>
    <t>Sets personal goals and directions, needs and development.</t>
  </si>
  <si>
    <t>Undertakes personal actions and behavior that are clear and purposive and takes into account personal goals and values congruent to that of the organization.</t>
  </si>
  <si>
    <t>Displays emotional maturity and enthusiasm for and is challenged by higher goals.</t>
  </si>
  <si>
    <t>Prioritizes work tasks and schedules (through Gantt charts, checklists, etc.) to achieve goals.</t>
  </si>
  <si>
    <t>Sets high quality, challenging, realistic goals for self and others.</t>
  </si>
  <si>
    <t>2. PROFESSIONALISM AND ETHICS</t>
  </si>
  <si>
    <t>Demonstrates the values and behavior enshrined in the Norms and Conduct and Ethical Standards for public officials and employees (RA 6713).</t>
  </si>
  <si>
    <t>Practices ethical and professional behavior and conduct taking into account the impact of his/her actions and decisions.</t>
  </si>
  <si>
    <t>Maintains a professional image: being trustworthy, regularity of attendance and punctuality, good grooming and communication.</t>
  </si>
  <si>
    <t>Makes personal sacrifices to meet the organization's needs.</t>
  </si>
  <si>
    <t>Act with a sense of urgency and responsibility to meet the organization’s needs, improve system and help others improve their effectiveness.</t>
  </si>
  <si>
    <t>3. RESULTS FOCUS</t>
  </si>
  <si>
    <t>Achieves results with optimal use of time and resources most of the time.</t>
  </si>
  <si>
    <t>Avoids rework, mistakes and wastage through effective work methods by placing organizational needs before personal needs.</t>
  </si>
  <si>
    <t>Delivers error-free outputs most of the time by conforming to standard operating procedures correctly and consistently. Able to produce very satisfactory quality work in terms of usefulness/acceptability and completeness with no supervision required.</t>
  </si>
  <si>
    <t>Expresses a desire to do better and may express frustration at waste or inefficiency. May focus on new or more precise ways of meeting goals set.</t>
  </si>
  <si>
    <t>Makes specific changes in the system or in own work methods to improve performance. Examples may include doing something better, faster, at a lower cost, more efficiently, or improving quality, customer satisfaction, morale, without setting any specific goal.</t>
  </si>
  <si>
    <t>4. TEAMWORK</t>
  </si>
  <si>
    <t>Willingly does his/her share of responsibility.</t>
  </si>
  <si>
    <t>Promotes collaboration and removes barrier to teamwork and goal accomplishment across the organization.</t>
  </si>
  <si>
    <t>Applies negotiation principles in arriving at win-win agreements.</t>
  </si>
  <si>
    <t>Drives consensus and team ownership of decisions.</t>
  </si>
  <si>
    <t>Works constructively and collaboratively with others and across organizations to accomplish organization goals and objectives.</t>
  </si>
  <si>
    <t>5. SERVICE ORIENTATION</t>
  </si>
  <si>
    <t>Can explain and articulate organizational directions, issues and problems.</t>
  </si>
  <si>
    <t>Takes personal responsibility for dealing with and/or correcting customer service issues and concerns.</t>
  </si>
  <si>
    <t>Initiates activities that promote advocacy for men and women empowerment.</t>
  </si>
  <si>
    <t>Participates in updating office vision, mission, mandates and strategies based on DepEd strategies and directions.</t>
  </si>
  <si>
    <t>Develops and adopts service improvement program through simplified procedures that will further enhance service delivery.</t>
  </si>
  <si>
    <t>6. INNOVATION</t>
  </si>
  <si>
    <t>Examines the root cause of problems and suggests effective solutions. Foster new ideas, processes and suggests better ways to do things (cost and/or operational efficiency).</t>
  </si>
  <si>
    <t>Demonstrates an ability to think “beyond the box”. Continuously focuses on improving personal productivity to create higher value and results.</t>
  </si>
  <si>
    <t>Promotes a creative climate and inspires co-workers to develop original ideas or solutions.</t>
  </si>
  <si>
    <t>Translates creative thinking into tangible changes and solutions that improve the work unit and organization.</t>
  </si>
  <si>
    <t>Uses ingenious methods to accomplish responsibilities. Demonstrates resourcefulness and the ability to succeed with minimal resources.</t>
  </si>
  <si>
    <t>SM-1</t>
  </si>
  <si>
    <t>Self-Management</t>
  </si>
  <si>
    <t>SM-2</t>
  </si>
  <si>
    <t>SM-3</t>
  </si>
  <si>
    <t>SM-4</t>
  </si>
  <si>
    <t>SM-5</t>
  </si>
  <si>
    <t>P&amp;E-1</t>
  </si>
  <si>
    <t>Profeesionalism &amp; Ethics</t>
  </si>
  <si>
    <t>P&amp;E-2</t>
  </si>
  <si>
    <t>P&amp;E-3</t>
  </si>
  <si>
    <t>P&amp;E-4</t>
  </si>
  <si>
    <t>P&amp;E-5</t>
  </si>
  <si>
    <t>RF-1</t>
  </si>
  <si>
    <t>Results Focus</t>
  </si>
  <si>
    <t>RF-2</t>
  </si>
  <si>
    <t>RF-3</t>
  </si>
  <si>
    <t>RF-4</t>
  </si>
  <si>
    <t>RF-5</t>
  </si>
  <si>
    <t>TW-1</t>
  </si>
  <si>
    <t>Teamwork</t>
  </si>
  <si>
    <t>TW-2</t>
  </si>
  <si>
    <t>TW-3</t>
  </si>
  <si>
    <t>TW-4</t>
  </si>
  <si>
    <t>TW-5</t>
  </si>
  <si>
    <t>SO-1</t>
  </si>
  <si>
    <t>Service Orientation</t>
  </si>
  <si>
    <t>SO-2</t>
  </si>
  <si>
    <t>SO-3</t>
  </si>
  <si>
    <t>SO-4</t>
  </si>
  <si>
    <t>SO-5</t>
  </si>
  <si>
    <t>INNOV-1</t>
  </si>
  <si>
    <t>Innovation</t>
  </si>
  <si>
    <t>INNOV-2</t>
  </si>
  <si>
    <t>INNOV-3</t>
  </si>
  <si>
    <t>INNOV-4</t>
  </si>
  <si>
    <t>INNOV-5</t>
  </si>
  <si>
    <t>Name of Rater:</t>
  </si>
  <si>
    <t>Date of Review:</t>
  </si>
  <si>
    <t xml:space="preserve">TO BE FILLED OUT DURING PLANNING </t>
  </si>
  <si>
    <t>TO BE FILLED OUT DURING EVALUATION</t>
  </si>
  <si>
    <t>MFOs</t>
  </si>
  <si>
    <t>Domains</t>
  </si>
  <si>
    <t>Timeline</t>
  </si>
  <si>
    <t>Weight per KRA</t>
  </si>
  <si>
    <t>Performance Indicators</t>
  </si>
  <si>
    <t>Actual Results</t>
  </si>
  <si>
    <t>QET</t>
  </si>
  <si>
    <t>strand</t>
  </si>
  <si>
    <t>selected</t>
  </si>
  <si>
    <t>first_ind_check</t>
  </si>
  <si>
    <t>kra_ind_no</t>
  </si>
  <si>
    <t>helper</t>
  </si>
  <si>
    <t>qet_check</t>
  </si>
  <si>
    <t>q_coi_ncoi_check</t>
  </si>
  <si>
    <t>Basic Education Services</t>
  </si>
  <si>
    <t>Quality</t>
  </si>
  <si>
    <t>Efficiency</t>
  </si>
  <si>
    <t>Timeliness</t>
  </si>
  <si>
    <t>RATING FOR OVERALL ACCOMPLISHMENTS</t>
  </si>
  <si>
    <t>ADJECTIVAL RATING EQUIVALENCES</t>
  </si>
  <si>
    <t xml:space="preserve">RANGE </t>
  </si>
  <si>
    <t>ADJECTIVAL RATING</t>
  </si>
  <si>
    <t xml:space="preserve">4.500 – 5.000 </t>
  </si>
  <si>
    <t xml:space="preserve">3.500 – 4.499 </t>
  </si>
  <si>
    <t xml:space="preserve">2.500 – 3.499 </t>
  </si>
  <si>
    <t xml:space="preserve">1.500 – 2.499 </t>
  </si>
  <si>
    <t>below 1.499</t>
  </si>
  <si>
    <t>Rater</t>
  </si>
  <si>
    <t>Approving Authority</t>
  </si>
  <si>
    <t>PART II: COMPETENCIES</t>
  </si>
  <si>
    <t xml:space="preserve">Instructions: Please indicate the number of competency indicators that you demonstrated during the performance cycle. </t>
  </si>
  <si>
    <t>CORE BEHAVIORAL COMPETENCIES</t>
  </si>
  <si>
    <t>1. Sets personal goals and directions, needs and development.</t>
  </si>
  <si>
    <t>1. Willingly does his/her share of responsibility.</t>
  </si>
  <si>
    <t>2. Undertakes personal actions and behavior that are clear and purposive and takes into account personal goals and values congruent to that of the organization.</t>
  </si>
  <si>
    <t>2. Promotes collaboration and removes barrier to teamwork and goal accomplishment across the organization.</t>
  </si>
  <si>
    <t>3. Displays emotional maturity and enthusiasm for and is challenged by higher goals.</t>
  </si>
  <si>
    <t>3. Applies negotiation principles in arriving at win-win agreements.</t>
  </si>
  <si>
    <t>4. Prioritizes work tasks and schedules (through Gantt chants, checklists, etc.) to achieve goals.</t>
  </si>
  <si>
    <t>4. Drives consensus and team ownership of decisions.</t>
  </si>
  <si>
    <t>5. Sets high quality, challenging, realistic goals for self and others.</t>
  </si>
  <si>
    <t>5. Works constructively and collaboratively with others and across organizations to accomplish organization goals and objectives.</t>
  </si>
  <si>
    <t>Professionalism and Ethics</t>
  </si>
  <si>
    <t>1. Demonstrates the values and behavior enshrined in the Norms and Conduct and Ethical Standards for Public Officials and Employees (RA 6713).</t>
  </si>
  <si>
    <t>1. Can explain and articulate organizational directions, issues and problems.</t>
  </si>
  <si>
    <t>2. Practices ethical and professional behavior and conduct taking into account the impact of his/her actions and decisions.</t>
  </si>
  <si>
    <t>2. Takes personal responsibility for dealing with and/or correcting customer service issues and concerns.</t>
  </si>
  <si>
    <t>3. Maintains a professional image: being trustworthy, regularity of attendance and punctuality, good grooming and communication.</t>
  </si>
  <si>
    <t>3. Initiates activities that promote advocacy for men and women empowerment.</t>
  </si>
  <si>
    <t>4. Makes personal sacrifices to meet the organization’s needs.</t>
  </si>
  <si>
    <t>4. Participates in updating office vision, mission, mandates and strategies based on DepEd strategies and directions.</t>
  </si>
  <si>
    <t>5. Acts with a sense of urgency and responsibility to meet the organization’s needs, improve system and help others improve their effectiveness.</t>
  </si>
  <si>
    <t>5. Develops and adopts service improvement program through simplified procedures that will further enhance service delivery.</t>
  </si>
  <si>
    <t>1. Achieves results with optimal use of time and resources most of the time.</t>
  </si>
  <si>
    <t>1. Examines the root cause of problems and suggests effective solutions. Foster new ideas, processes and suggests better ways to do things (cost and/or operational efficiency).</t>
  </si>
  <si>
    <t>2. Avoids rework, mistakes and wastage through effective work methods by placing organizational needs before personal needs.</t>
  </si>
  <si>
    <t>2. Demonstrates an ability to think “beyond the box”. Continuously focuses on improving personal productivity to create higher value and results.</t>
  </si>
  <si>
    <t>3. Delivers error-free outputs most of the time by conforming to standard operating procedures correctly and consistently. Able to produce very satisfactory quality work in terms of usefulness/acceptability and completeness with no supervision required.</t>
  </si>
  <si>
    <t>3. Promotes a creative climate and inspires co-workers to develop original ideas or solutions.</t>
  </si>
  <si>
    <t>4. Expresses a desire to do better and may express frustration at waste or inefficiency. May focus on new or more precise ways of meeting goals set.</t>
  </si>
  <si>
    <t>4. Translates creative thinking into tangible changes and solutions that improve the work unit and organization.</t>
  </si>
  <si>
    <t>5. Makes specific changes in the system or in own work methods to improve performance. Examples may include doing something better, faster, at a lower cost, more efficiently, or improving quality, customer satisfaction, morale, without setting any specific goal.</t>
  </si>
  <si>
    <t>5. Uses ingenious methods to accomplish responsibilities. Demonstrates resourcefulness and the ability to succeed with minimal resources.</t>
  </si>
  <si>
    <t>Note: The assessment in the demonstration of competencies shall not be reflected in the final rating. These competencies are monitored to inform professional development plans (DepEd Order No. 2, s. 2015, p. 9).</t>
  </si>
  <si>
    <t>INDIVIDUAL PERFORMANCE COMMITMENT AND REVIEW FORM (IPCRF) SUMMARY SHEET</t>
  </si>
  <si>
    <t>PART III. SUMMARY OF RATINGS FOR DISCUSSION</t>
  </si>
  <si>
    <t>Numerical Ratings</t>
  </si>
  <si>
    <t>ind_check</t>
  </si>
  <si>
    <t>ind_no</t>
  </si>
  <si>
    <t>FINAL PERFORMANCE RESULTS</t>
  </si>
  <si>
    <t>Accomplishments of KRAs and Objectives</t>
  </si>
  <si>
    <t>PART IV: DEVELOPMENT PLANS</t>
  </si>
  <si>
    <t>Strengths</t>
  </si>
  <si>
    <t>Development Needs</t>
  </si>
  <si>
    <t>Action Plan</t>
  </si>
  <si>
    <t>Resources Needed</t>
  </si>
  <si>
    <t>save_attempt</t>
  </si>
  <si>
    <t>(Recommended Developmental Intervention)</t>
  </si>
  <si>
    <t>Learning Objectives</t>
  </si>
  <si>
    <t>Intervention</t>
  </si>
  <si>
    <t>id</t>
  </si>
  <si>
    <t>strength</t>
  </si>
  <si>
    <t>count</t>
  </si>
  <si>
    <t>weakness</t>
  </si>
  <si>
    <t>A. Functional Competencies</t>
  </si>
  <si>
    <t xml:space="preserve">B. Core Behavioral Competencies </t>
  </si>
  <si>
    <t>Feedback:</t>
  </si>
  <si>
    <t>RATEE</t>
  </si>
  <si>
    <t>RATER</t>
  </si>
  <si>
    <t>APPROVING AUTHORITY</t>
  </si>
  <si>
    <t>Domain_code</t>
  </si>
  <si>
    <t>Domain</t>
  </si>
  <si>
    <t>Content Knowledge and Pedagogy</t>
  </si>
  <si>
    <t>Learning Environment &amp; Diversity of Learners</t>
  </si>
  <si>
    <t>Curriculum and Planning &amp; Assessment and Reporting</t>
  </si>
  <si>
    <t>Community Linkages and Professional Engagement &amp; Personal 
Growth and Professional Development</t>
  </si>
  <si>
    <t>Community Linkages and Professional Engagement</t>
  </si>
  <si>
    <t>Personal Growth and Professional Development</t>
  </si>
  <si>
    <t>Plus Factor</t>
  </si>
  <si>
    <t>Selected</t>
  </si>
  <si>
    <t>user_selected_coi_ncoi</t>
  </si>
  <si>
    <t>admin_selected_coi_ncoi</t>
  </si>
  <si>
    <t>1.1.2</t>
  </si>
  <si>
    <t>Applied knowledge of content within and across curriculum teaching areas</t>
  </si>
  <si>
    <t>1.2.2</t>
  </si>
  <si>
    <t>Used research-based knowledge and principles of teaching and learning to enhance professional practice</t>
  </si>
  <si>
    <t>1.3.2</t>
  </si>
  <si>
    <t>Ensured the positive use of ICT to facilitate the teaching and learning process</t>
  </si>
  <si>
    <t>1.4.2</t>
  </si>
  <si>
    <t>Used a range of teaching strategies that enhance learner achievement in literacy and numeracy skills</t>
  </si>
  <si>
    <t>1.5.2</t>
  </si>
  <si>
    <t>Applied a range of teaching strategies to develop critical and creative thinking, as well as other higher-order thinking skills</t>
  </si>
  <si>
    <t>1.6.2</t>
  </si>
  <si>
    <t>Displayed proficient use of Mother Tongue, Filipino and English to facilitate teaching and learning</t>
  </si>
  <si>
    <t>1.7.2</t>
  </si>
  <si>
    <t>Used effective verbal and non-verbal classroom communication strategies to support learner understanding, participation, engagement and achievement</t>
  </si>
  <si>
    <t>2.1.2</t>
  </si>
  <si>
    <t>Established safe and secure learning environments to enhance learning through the consistent implementation of policies, guidelines and procedures</t>
  </si>
  <si>
    <t>2.2.2</t>
  </si>
  <si>
    <t>Maintained learning environments that promote fairness, respect and care to encourage learning</t>
  </si>
  <si>
    <t>2.3.2</t>
  </si>
  <si>
    <t>Managed classroom structure to engage learners, individually or in groups, in meaningful exploration, discovery and hands-on activities within a range of physical learning environments</t>
  </si>
  <si>
    <t>2.4.2</t>
  </si>
  <si>
    <t>Maintained learning environments that nurture and inspire learners to participate, cooperate and collaborate in continued learning</t>
  </si>
  <si>
    <t>2.5.2</t>
  </si>
  <si>
    <t>Applied a range of successful strategies that maintain learning environments that motivate learners to work productively by assuming responsibility for their own learning</t>
  </si>
  <si>
    <t>2.6.2</t>
  </si>
  <si>
    <t>Managed learner behavior constructively by applying positive and non-violent discipline to ensure learning- focused environments</t>
  </si>
  <si>
    <t>3.1.2</t>
  </si>
  <si>
    <t>Used differentiated, developmentally appropriate learning experiences to address learners’ gender, needs, strengths, interests and experiences</t>
  </si>
  <si>
    <t>3.2.2</t>
  </si>
  <si>
    <t>Established a learner- centered culture by using teaching strategies that respond to their linguistic, cultural, socioeconomic and religious backgrounds</t>
  </si>
  <si>
    <t>3.3.2</t>
  </si>
  <si>
    <t>Designed, adapted and implemented teaching strategies that are responsive to learners with disabilities, giftedness and talents</t>
  </si>
  <si>
    <t>3.4.2</t>
  </si>
  <si>
    <t>Planned and delivered teaching strategies that are responsive to the special educational needs of learners in difficult circumstances*, including: geographic isolation; chronic illness; displacement due to armed conflict, urban resettlement or disasters; child
abuse and child labor practices</t>
  </si>
  <si>
    <t>3.5.2</t>
  </si>
  <si>
    <t>Adapted and used culturally appropriate teaching strategies to address the needs of learners from indigenous groups</t>
  </si>
  <si>
    <t>4.1.2</t>
  </si>
  <si>
    <t>Planned, managed and implemented developmentally sequenced teaching and learning processes to meet curriculum requirements and varied teaching contexts</t>
  </si>
  <si>
    <t>4.2.2</t>
  </si>
  <si>
    <t>Set achievable and appropriate learning outcomes that are aligned with learning competencies</t>
  </si>
  <si>
    <t>4.3.2</t>
  </si>
  <si>
    <t>Adapted and implemented learning programs that ensure relevance and responsiveness to the needs of all learners</t>
  </si>
  <si>
    <t>4.4.2</t>
  </si>
  <si>
    <t>Participated in collegial discussions that use teacher and learner feedback to  enrich teaching practice</t>
  </si>
  <si>
    <t>4.5.2</t>
  </si>
  <si>
    <t>Selected, developed, organized and used appropriate teaching and learning resources, including ICT, to address learning goals</t>
  </si>
  <si>
    <t>5.1.2</t>
  </si>
  <si>
    <t>Designed, selected, organized and used diagnostic, formative and summative assessment strategies consistent with curriculum requirements</t>
  </si>
  <si>
    <t>5.2.2</t>
  </si>
  <si>
    <t>Monitored and evaluated learner progress and achievement using learner attainment data</t>
  </si>
  <si>
    <t>5.3.2</t>
  </si>
  <si>
    <t>Used strategies for providing timely, accurate and constructive feedback to improve learner performance</t>
  </si>
  <si>
    <t>5.4.2</t>
  </si>
  <si>
    <t>Communicated promptly and clearly the learners’ needs, progress and achievement  to key stakeholders, including parents/guardians</t>
  </si>
  <si>
    <t>5.5.2</t>
  </si>
  <si>
    <t>Utilized assessment data to inform the modification of teaching and learning practices and programs</t>
  </si>
  <si>
    <t>6.1.2</t>
  </si>
  <si>
    <t>Maintained learning environments that are responsive to community contexts</t>
  </si>
  <si>
    <t>6.2.2</t>
  </si>
  <si>
    <t>Built relationships with parents/ guardians and the wider school community to facilitate involvement in the educative process</t>
  </si>
  <si>
    <t>6.3.2</t>
  </si>
  <si>
    <t>Reviewed regularly personal teaching practice using existing laws and regulations that apply to the teaching profession and the responsibilities specified in the Code of Ethics for Professional Teachers</t>
  </si>
  <si>
    <t>6.4.2</t>
  </si>
  <si>
    <t>Complied with and implemented school policies and procedures consistently to foster harmonious relationships with learners, parents, and other stakeholders</t>
  </si>
  <si>
    <t>7.1.2</t>
  </si>
  <si>
    <t>Applied a personal philosophy of teaching that is learner-centered</t>
  </si>
  <si>
    <t>7.2.2</t>
  </si>
  <si>
    <t>Adopted practices that uphold the dignity of teaching as a profession by exhibiting qualities such as caring attitude, respect and integrity</t>
  </si>
  <si>
    <t>7.3.2</t>
  </si>
  <si>
    <t>Participated in professional networks to share knowledge and to enhance practice</t>
  </si>
  <si>
    <t>7.4.2</t>
  </si>
  <si>
    <t>Developed a personal improvement plan based on reflection of one’s practice and ongoing professional learning</t>
  </si>
  <si>
    <t>7.5.2</t>
  </si>
  <si>
    <t>Set professional development goals based on the Philippine Professional Standards for Teachers</t>
  </si>
  <si>
    <t>Performed various related works/activities that contribute to the teaching learning process</t>
  </si>
  <si>
    <t>Demonstrated Level 7 in Objective 1 as shown in COT rating sheets / inter-observer agreement forms</t>
  </si>
  <si>
    <t>Demonstrated Level 6 in Objective 1 as shown in COT rating sheets / inter-observer agreement forms</t>
  </si>
  <si>
    <t>Demonstrated Level 5 in Objective 1 as shown in COT rating sheets / inter-observer agreement forms</t>
  </si>
  <si>
    <t>Demonstrated Level 4 in Objective 1 as shown in COT rating sheets / inter-observer agreement forms</t>
  </si>
  <si>
    <t>Demonstrated Level 3 in Objective 1 as shown in COT rating sheets / inter-observer agreement forms
or
No acceptable evidence was shown</t>
  </si>
  <si>
    <t>Objective was met within the allotted time</t>
  </si>
  <si>
    <t>Objective was met but instruction exceeded the allotted time</t>
  </si>
  <si>
    <t>No acceptable evidence was shown</t>
  </si>
  <si>
    <t>Used research-based knowledge and/or principles of teaching and learning in all the components of instruction in the lesson plan to improve student learning</t>
  </si>
  <si>
    <t>Used research-based knowledge and/or principles of teaching and learning in two components of instruction in the lesson plan to improve student learning</t>
  </si>
  <si>
    <t>Used research-based knowledge and/or principles of teaching and learning in one component of instruction in the lesson plan to improve student learning</t>
  </si>
  <si>
    <t>Use of research-based knowledge and/or principle of teaching and learning is identified but was poorly used as basis for planning / designing the lesson</t>
  </si>
  <si>
    <t>Ensured that the ICT used redefine and transform learning experiences and are documented properly and consistently using any referencing style as shown in the submitted learning material</t>
  </si>
  <si>
    <t>Ensured that the ICT used augment and enrich learning experiences and are documented properly and consistently using any referencing style as shown in the submitted learning material</t>
  </si>
  <si>
    <t>Ensured that the ICT used modify processes and improve learning experiences and are documented properly and consistently using any referencing style as shown in the submitted learning material</t>
  </si>
  <si>
    <t>Ensured that ICT are used but do not create a new learning experience and/or are documented but not consistent with one referencing style as shown in the submitted learning material</t>
  </si>
  <si>
    <t>Demonstrated Level 7 in the objective as shown in COT rating sheets / inter-observer agreement forms</t>
  </si>
  <si>
    <t>Demonstrated Level 6 in the objective as shown in COT rating sheets / inter-observer agreement forms</t>
  </si>
  <si>
    <t>Demonstrated Level 5 in the objective as shown in COT rating sheets / inter-observer agreement forms</t>
  </si>
  <si>
    <t>Demonstrated Level 4 in the objective as shown in COT rating sheets / inter-observer agreement forms</t>
  </si>
  <si>
    <t>Demonstrated Level 3 in the objective as shown in COT rating sheets / inter-observer agreement forms
or
No acceptable evidence was shown</t>
  </si>
  <si>
    <t>Demonstrated Level 7 as shown in COT rating sheets/inter- observer agreement forms</t>
  </si>
  <si>
    <t>Demonstrated Level 6 as shown in COT rating sheets/inter- observer agreement forms</t>
  </si>
  <si>
    <t>Demonstrated Level 5 as shown in COT rating sheets/inter- observer agreement forms</t>
  </si>
  <si>
    <t>Demonstrated Level 4 as shown in COT rating sheets/inter- observer agreement forms</t>
  </si>
  <si>
    <t>Demonstrated Level 3 as shown in COT rating sheets/inter- observer agreement forms or No acceptable evidence was shown</t>
  </si>
  <si>
    <t>Provided effective and varying learning opportunities that are well-aligned with the learning goals and feature all elements of collaborative learning as shown in the submitted learning material</t>
  </si>
  <si>
    <t>Provided effective learning opportunities that are well-aligned with the learning goals and engage learners to participate, cooperate, and/or collaborate in continued learning as shown in the submitted learning material</t>
  </si>
  <si>
    <t>Provided an effective learning opportunity that is well-aligned with the learning goal/s and engage learners to participate, cooperate, and/or collaborate in continued learning as shown in the submitted learning material</t>
  </si>
  <si>
    <t>Provided learning opportunity/ies that is/are partially aligned with the learning goal/s and only somehow engage/s learners to participate, cooperate, and/or collaborate in continued learning as shown in the submitted learning material</t>
  </si>
  <si>
    <t>Applied effective teaching strategies that are well-aligned with the learning goals and successfully motivate learners to monitor and evaluate their own learning as shown in the submitted learning material</t>
  </si>
  <si>
    <t>Applied effective teaching strategies that are well-aligned with the learning goals and successfully motivate learners to work productively by assuming responsibility for their own learning as shown in the submitted learning material</t>
  </si>
  <si>
    <t>Applied an effective teaching strategy that is well-aligned with the learning goal/s and successfully motivates learners to work productively by assuming responsibility for their own learning as shown in the submitted learning material</t>
  </si>
  <si>
    <t>Applied teaching strategy/ies that is/are partially aligned with the learning goal/s and only somehow motivate/s learners to work productively by assuming responsibility for their own learning as shown in the submitted learning material</t>
  </si>
  <si>
    <t>Demonstrated Level 5 as shown in the TRFs</t>
  </si>
  <si>
    <t xml:space="preserve">Demonstrated Level 4 as shown in the TRFs </t>
  </si>
  <si>
    <t>Demonstrated Level 3 as shown in the TRFs</t>
  </si>
  <si>
    <t>Demonstrated Level 2 as shown in the TRFs</t>
  </si>
  <si>
    <t>Demonstrated Level 1 as shown in the TRFs or No acceptable evidence was shown</t>
  </si>
  <si>
    <t>Demonstrated Level 7 as shown in COT rating sheets/inter- observer agreement forms or in the lesson plan and annotation provided</t>
  </si>
  <si>
    <t>Demonstrated Level 6 as shown in COT rating sheets/inter- observer agreement forms or in the lesson plan and annotation provided</t>
  </si>
  <si>
    <t>Demonstrated Level 5 as shown in COT rating sheets/inter- observer agreement forms or in the lesson plan and annotation provided</t>
  </si>
  <si>
    <t>Demonstrated Level 4 as shown in COT rating sheets/inter- observer agreement forms or in the lesson plan and annotation provided</t>
  </si>
  <si>
    <t>Demonstrated Level 3 as shown in COT rating sheets/inter- observer agreement forms or No acceptable evidence was shown or in the lesson plan and annotation provided</t>
  </si>
  <si>
    <t>Set learning outcomes were achievable and appropriate, and led to the attainment of the next related competency, as shown in the MOV submitted</t>
  </si>
  <si>
    <t>Set learning outcomes were achievable and appropriate, and contributed to the understanding of the next related competency, as shown in the MOV submitted</t>
  </si>
  <si>
    <t>Set learning outcomes were achievable and appropriate, and were aligned with the learning competencies, as shown in the MOV submitted</t>
  </si>
  <si>
    <t>Set learning outcomes were not achievable or appropriate, and were partially aligned with the learning competencies, as shown in the MOV submitted</t>
  </si>
  <si>
    <t>All of the learning outcomes set were aligned with the learning competencies as shown in the MOV submitted</t>
  </si>
  <si>
    <t>Majority of the learning outcomes set were aligned with the learning competencies as shown in the MOV submitted</t>
  </si>
  <si>
    <t>At least half of the learning outcomes set were aligned with the learning competencies as shown in the MOV submitted</t>
  </si>
  <si>
    <t>Less than half of the learning outcomes set were aligned with the learning competencies as shown in the MOV submitted</t>
  </si>
  <si>
    <t>Evaluated the adapted / contextualized learning program as evidenced by MOV No. 1</t>
  </si>
  <si>
    <t>Monitored progress of the adapted / contextualized learning program while being  implemented as evidenced by MOV No. 2</t>
  </si>
  <si>
    <t>Completed the implementation of the adapted / contextualized learning program as evidenced by MOV No. 3</t>
  </si>
  <si>
    <t>Planned for the implementation of the adapted / contextualized existing learning program
as evidenced by MOV No. 4</t>
  </si>
  <si>
    <t>Planned for enriched teaching practice based on LAC sessions / FGDs / meetings / other collegial discussions attended, as shown in MOV 3</t>
  </si>
  <si>
    <t>Reflected on practices during LAC sessions / FGDs / meetings / other collegial discussions to plan, facilitate, and enrich teaching practice, as shown in MOV 3</t>
  </si>
  <si>
    <t>Shared practices, teacher and learner feedback during LAC sessions / FGDs / meetings / other collegial discussions to plan, facilitate, and enrich teaching practice, as shown in MOV 2</t>
  </si>
  <si>
    <t>Attended LAC sessions / FGDs / meetings / other collegial discussions that discuss teacher/learner feedback to enrich instruction, as shown in MOV 1</t>
  </si>
  <si>
    <t>Participated in collegial discussions that discuss teacher and learner feedback across 4 quarters</t>
  </si>
  <si>
    <t>Participated in collegial discussions that discuss teacher and learner feedback across 3 quarters</t>
  </si>
  <si>
    <t>Participated in collegial discussions that discuss teacher and learner feedback across 2 quarters</t>
  </si>
  <si>
    <t>Participated in a collegial discussion that discusses teacher and learner feedback in only 1 quarter</t>
  </si>
  <si>
    <t>Involved learner/s
in monitoring and evaluation of their own progress and achievement</t>
  </si>
  <si>
    <t>Monitored and evaluated learner progress and achievement based on attainment data from an individual learner</t>
  </si>
  <si>
    <t>Monitored and evaluated learner progress and achievement based on the class attainment data</t>
  </si>
  <si>
    <t>Monitored and evaluated learner progress and achievement based on an existing grade level / department / learning area report</t>
  </si>
  <si>
    <t>Submitted MOV/s show/s monitoring and evaluation done across 4 quarters</t>
  </si>
  <si>
    <t>Submitted MOV/s show/s monitoring and evaluation done across 3 quarters</t>
  </si>
  <si>
    <t>Submitted MOV/s show/s monitoring and evaluation done across 2 quarters</t>
  </si>
  <si>
    <t>Submitted MOV/s show/s monitoring and evaluation done in only 1 quarter</t>
  </si>
  <si>
    <t>Sustained engagement through regular communication of learners’ needs, progress and achievement to key stakeholders, including parents/guardians , as shown in the MOV submitted</t>
  </si>
  <si>
    <t>Communicated promptly and clearly using various tools and strategies learners’ needs, progress and achievement to key stakeholders, including parents/guardians , as shown in the MOV submitted</t>
  </si>
  <si>
    <t>Communicated promptly and clearly using only one (1) strategy learners’ needs, progress and achievement to key stakeholders, including parents/guardians , as shown in the MOV submitted</t>
  </si>
  <si>
    <t>Communicated learners’ needs, progress and achievement to key stakeholders, including parents/guardians , but not regularly as shown in the MOV submitted</t>
  </si>
  <si>
    <t>Showed prompt communication of learners’ needs, progress and achievement across 4 quarters</t>
  </si>
  <si>
    <t>Showed prompt communication of learners’ needs, progress and achievement across 3 quarters</t>
  </si>
  <si>
    <t>Showed prompt communication of learners’ needs, progress and achievement across 2 quarters</t>
  </si>
  <si>
    <t>Showed prompt communication of learners’ needs, progress and achievement in only 1 quarter</t>
  </si>
  <si>
    <t xml:space="preserve">Implemented a teaching and learning strategy / program using materials based on learners’ assessment data as evidenced by a list of identified least / most mastered skills with supporting MOV No. 1 </t>
  </si>
  <si>
    <t xml:space="preserve">Developed materials based on learners’ assessment data as evidenced by a list of identified least / most mastered skills with supporting MOV No. 2 </t>
  </si>
  <si>
    <t xml:space="preserve">Planned for a teaching and learning strategy and/or program based on learners’ assessment data as evidenced by a list of identified least / most mastered skills with supporting MOV No. 3 </t>
  </si>
  <si>
    <t>Analyzed learners’ mastered skills based on the frequency of errors and correct responses as evidenced by a list of identified least / most mastered skills</t>
  </si>
  <si>
    <t>Submitted MOV/s showed utilization of assessment data across 4 quarters</t>
  </si>
  <si>
    <t>Submitted MOV/s showed utilization of assessment data across 3 quarters</t>
  </si>
  <si>
    <t>Submitted MOV/s showed utilization of assessment data across 2 quarters</t>
  </si>
  <si>
    <t>Submitted MOV/s showed utilization of assessment data in onle 1 quarter</t>
  </si>
  <si>
    <t>Collaborated with the community stakeholder in the implementation / completion of a program, project, and/or activity that maintains a learning environment responsive to community contexts as evidenced by MOV No. 1</t>
  </si>
  <si>
    <t>Planned with the community stakeholders a program, project, and/or activity that maintains a learning environment responsive to community contexts as evidenced by MOV No. 2</t>
  </si>
  <si>
    <t>Conducted a consultative meeting with the community stakeholders on a program, project, and/or activity that maintains a learning environment responsive to community contexts as evidenced by MOV No. 3</t>
  </si>
  <si>
    <t>Communicated with the community stakeholders about a program, project, and/or activity that maintains the learning environment responsive to community contexts as evidenced by MOV No. 4</t>
  </si>
  <si>
    <t>Sustained engagement through regular communication of learners' needs, progress and achievement  to key stakeholders, including parents/guardians, as shown in the MOV submitted</t>
  </si>
  <si>
    <t>Sustained engagement with parents/guardians and/or wider school community to facilitate involvement in the educative process as evidenced by 2 or more of MOV no. 1 or 2</t>
  </si>
  <si>
    <t>Secured collaboration with parents/guardians and/or wider school community to facilitate involvement in the educative process as evidenced by one MOV no. 1 or 2</t>
  </si>
  <si>
    <t>Communicated with and obtained response from parents/ guardians and/or wider school community to facilitate involvement in the educative process as evidenced by MOV No. 3</t>
  </si>
  <si>
    <t>Showed engagement with parents/guardians and the wider school community across 4 quarters</t>
  </si>
  <si>
    <t>Showed engagement with parents/guardians and the wider school community across 3 quarters</t>
  </si>
  <si>
    <t>Showed engagement with parents/guardians and the wider school community across 2 quarters</t>
  </si>
  <si>
    <t>Showed engagement with parents/guardians and the wider school community in only 1 quarter</t>
  </si>
  <si>
    <t>Exhibited an improved practice through one’s teaching as impact of regularly reviewing one’s teaching practice/s using laws and regulations that apply to the profession and the responsibilities in the Code of Ethics for Professional Teachers as evidenced by MOV No. 1</t>
  </si>
  <si>
    <t>Exhibited an improved practice through a teaching material as impact of regularly reviewing one’s teaching practice/s using laws and regulations that apply to the profession and the responsibilities in the Code of Ethics for Professional Teachers as evidenced by MOV No. 2</t>
  </si>
  <si>
    <t>Reviewed personal teaching practices using laws and regulations that apply to the profession and the responsibilities in the Code of Ethics for Professional Teachers in 4 quarters with reflection outputs as evidenced by MOV No. 3</t>
  </si>
  <si>
    <t>Participated in the review of personal teaching practices using laws and regulations that apply to the profession and the responsibilities in the Code of Ethics for Professional Teachers in 4 quarters as evidenced by MOV No. 4</t>
  </si>
  <si>
    <t>Sustained engagement with the learners, parents / guardians, and other stakeholders
regarding school policies and procedures through school-community partnership/s as evidenced by MOV no. 1</t>
  </si>
  <si>
    <t>Discussed with learners, parents / guardians, and other stakeholders the implemented school policies and procedures as evidenced by MOV no. 2</t>
  </si>
  <si>
    <t>Communicated with learners, parents / guardians, and other stakeholders the implemented school policies and procedures as evidenced by MOV no. 3</t>
  </si>
  <si>
    <t xml:space="preserve">Implemented school policies and procedures without communicating and consulting the learners, parents / guardians, and other stakeholders </t>
  </si>
  <si>
    <t>Submitted MOV that details the consistent involvement of learners in the teaching-learning process resulting from the application of a personal philosophy of teaching that is learner-centered</t>
  </si>
  <si>
    <t>Submitted MOV that reflects involvement of learners in the teaching-learning process resulting from the application of a personal philosophy of teaching that is learner-centered</t>
  </si>
  <si>
    <t>Submitted MOV that shows the application of a personal philosophy of teaching that is learner-centered</t>
  </si>
  <si>
    <t>Submitted MOV that indicates a personal philosophy of teaching that is not learner- centered</t>
  </si>
  <si>
    <t>Applied a personal philosophy of teaching that is learner-centered across 4 quarters</t>
  </si>
  <si>
    <t>Applied a personal philosophy of teaching that is learner-centered across 3 quarters</t>
  </si>
  <si>
    <t>Applied a personal philosophy of teaching that is learner-centered across 2 quarters</t>
  </si>
  <si>
    <t>Applied a personal philosophy of teaching that is learner-centered in only 1 quarter</t>
  </si>
  <si>
    <t>Exhibited dignity of teaching as a profession by exhibiting qualities such as caring attitude, respect, and integrity with affirmation from different school stakeholders as evidenced by at least two MOV No. 1</t>
  </si>
  <si>
    <t>Exhibited dignity of teaching as a profession by exhibiting qualities such as caring attitude, respect, and integrity with affirmation from any school stakeholder as evidenced by one MOV No. 1</t>
  </si>
  <si>
    <t>Adopted practices that uphold the dignity of teaching as a profession by exhibiting qualities such as caring attitude, respect, and integrity as evidenced by at least two MOV No. 2</t>
  </si>
  <si>
    <t>Adopted a practice that uphold the dignity of teaching as a profession by exhibiting qualities such as caring attitude, respect, and integrity as evidenced by one MOV No. 2</t>
  </si>
  <si>
    <t>Participated in any professional network/activity that requires output* and proof of implementation** within the school to share knowledge and to enhance practice as evidenced by the submitted MOV</t>
  </si>
  <si>
    <t>Participated in any professional network/activity that requires output* and proof of implementation** within the department/ grade level to share knowledge and to enhance practice as evidenced by the submitted MOV</t>
  </si>
  <si>
    <t>Participated in any professional network/activity that requires output* to share knowledge and to enhance practice as evidenced by the submitted MOV</t>
  </si>
  <si>
    <t>Participated in any professional network/activity that does not require output to share knowledge and to enhance practice as evidenced by the submitted MOV</t>
  </si>
  <si>
    <t>Particpated in professional networkds to share knowledge and to enhance practice across 4 quarters</t>
  </si>
  <si>
    <t>Particpated in professional networkds to share knowledge and to enhance practice across 3 quarters</t>
  </si>
  <si>
    <t>Particpated in professional networkds to share knowledge and to enhance practice across 2 quarters</t>
  </si>
  <si>
    <t>Particpated in professional networkds to share knowledge and to enhance practice in only 1 quarter</t>
  </si>
  <si>
    <t>Updated professional development goals during Phase II of the RPMS Cycle as evidenced by MOV 4</t>
  </si>
  <si>
    <t>Discussed progress on professional development goals with the rater during the mid-year review as evidenced by MOV 3</t>
  </si>
  <si>
    <t>Set professional development goals based on e-SAT results as evidence by MOV 2</t>
  </si>
  <si>
    <t>Accomplished the e-SAT at the beginning of the school year as evidenced by MOV 1</t>
  </si>
  <si>
    <t>Submitted 4 acceptable MOVs</t>
  </si>
  <si>
    <t>Submitted 3 acceptable MOVs</t>
  </si>
  <si>
    <t>Submitted 2 acceptable MOVs</t>
  </si>
  <si>
    <t>Submitted 1 acceptable MOV</t>
  </si>
  <si>
    <t>All four (4) submitted MOVs were accomplished within the prescribed RPMS Phase</t>
  </si>
  <si>
    <t>Three (3) of the submitted MOVs were accomplished within the prescribed RPMS Phase</t>
  </si>
  <si>
    <t>Two (2) of the submitted MOVs were accomplished within the prescribed RPMS Phase</t>
  </si>
  <si>
    <t>Only one (1) of the submitted MOVs was accomplished within the prescribed RPMS Phase</t>
  </si>
  <si>
    <t>Set professional development goals based on e-SAT results as evidenced by MOV 2</t>
  </si>
  <si>
    <t>Performed at least one (1) related work / activity that contributed to the teaching-learning process beyond the school / Community Learning Center (CLC) as evidenced by the submitted MOV.</t>
  </si>
  <si>
    <t>Performed at least one (1) related work / activity that contributed to the teaching-learning process within the school / Community Learning Center (CLC) as evidenced by the submitted MOV.</t>
  </si>
  <si>
    <t>Performed at least one (1) related work / activity that contributed to the teaching-learning process within the learning area/department as evidenced by the submitted MOV.</t>
  </si>
  <si>
    <t>Performed at least one (1) related work / activity that contributed to the teaching-learning process within the class as evidenced by the submitted MOV.</t>
  </si>
  <si>
    <t>Submitted MOV that
details the achieved positive contribution to the teaching-learning process, as evidenced by the annotation provided.</t>
  </si>
  <si>
    <t>Submitted MOV that
details the perceived positive contribution to the teaching-learning process, as evidenced by the annotation provided.</t>
  </si>
  <si>
    <t>Submitted MOV that
shows reasonable interlap with the actual teaching- learning process, as evidenced by the annotation provided.</t>
  </si>
  <si>
    <t>Submitted MOV that
shows considerable overlap with, hence significantly affecting the performance of the actual teaching- learning process.</t>
  </si>
  <si>
    <t>Submitted MOVs were distributed across 4 quarters</t>
  </si>
  <si>
    <t>Submitted MOVs were distributed across 3 quarters</t>
  </si>
  <si>
    <t>Submitted MOVs were distributed across 2 quarters</t>
  </si>
  <si>
    <t>Submitted MOV/s was/were completed in only 1 quarter</t>
  </si>
  <si>
    <t>1.1.3</t>
  </si>
  <si>
    <t>Modelled effective applications of content knowledge within and across curriculum teaching areas</t>
  </si>
  <si>
    <t>1.2.3</t>
  </si>
  <si>
    <t>Collaborated with colleagues in the conduct and   application of research to enrich knowledge of content and pedagogy</t>
  </si>
  <si>
    <t>1.3.3</t>
  </si>
  <si>
    <t>Promoted effective strategies in the positive use of ICT to facilitate the teaching and learning process</t>
  </si>
  <si>
    <t>1.4.3</t>
  </si>
  <si>
    <t>Evaluated with colleagues the effectiveness of teaching strategies that promote learner achievement in literacy and numeracy</t>
  </si>
  <si>
    <t>1.5.3</t>
  </si>
  <si>
    <t>Developed and applied effective teaching strategies to promote critical and creative thinking, as well as other higher-order thinking skills</t>
  </si>
  <si>
    <t>1.6.3</t>
  </si>
  <si>
    <t>Modelled and supported colleagues in the proficient use of Mother Tongue, Filipino and English to improve teaching and learning, as well as to develop learners’ pride of their language, heritage and culture</t>
  </si>
  <si>
    <t>1.7.3</t>
  </si>
  <si>
    <t>Displayed a wide range of effective verbal and non-verbal classroom communication strategies to support learner understanding, participation, engagement and achievement</t>
  </si>
  <si>
    <t>2.1.3</t>
  </si>
  <si>
    <t>Exhibited effective strategies that ensure safe and secure learning environments to enhance learning through the consistent implementation of policies, guidelines and procedures</t>
  </si>
  <si>
    <t>2.2.3</t>
  </si>
  <si>
    <t>Exhibited effective practices to foster learning environments that promote fairness, respect and care to encourage learning</t>
  </si>
  <si>
    <t>2.3.3</t>
  </si>
  <si>
    <t>Worked with colleagues to model and share effective techniques in the management of classroom structure to engage learners, individually or in groups, in meaningful exploration, discovery and hands-on activities within a range of physical learning environments</t>
  </si>
  <si>
    <t>2.4.3</t>
  </si>
  <si>
    <t>Worked with colleagues to share successful strategies that sustain supportive learning environments that nurture and inspire learners to participate, cooperate and collaborate in continued learning</t>
  </si>
  <si>
    <t>2.5.3</t>
  </si>
  <si>
    <t>Modelled successful strategies and supported colleagues in promoting learning environments that effectively motivate learners to work productively by assuming responsibility for their own learning</t>
  </si>
  <si>
    <t>2.6.3</t>
  </si>
  <si>
    <t>Exhibited effective and constructive behavior management skills by applying positive and non-violent discipline to ensure learning- focused environments</t>
  </si>
  <si>
    <t>3.1.3</t>
  </si>
  <si>
    <t>Worked with colleagues to share differentiated, developmentally appropriate opportunities to address learners’ differences in gender, needs, strengths, interests and experiences</t>
  </si>
  <si>
    <t>3.2.3</t>
  </si>
  <si>
    <t>Exhibited a learner-centered culture that promotes success by using effective teaching strategies that respond to their linguistic, cultural, socioeconomic and religious backgrounds</t>
  </si>
  <si>
    <t>3.3.3</t>
  </si>
  <si>
    <t>Assisted colleagues to design, adapt and implement teaching strategies that are responsive to learners with disabilities, giftedness and talents</t>
  </si>
  <si>
    <t>3.4.3</t>
  </si>
  <si>
    <t>Evaluated with colleagues teaching strategies that are responsive to the special educational needs of learners in difficult circumstances*, including: geographic isolation; chronic illness; displacement due to armed conflict, urban resettlement or disasters; child abuse and child labor practices</t>
  </si>
  <si>
    <t>3.5.3</t>
  </si>
  <si>
    <t>Developed and applied teaching strategies to address effectively the needs of learners from indigenous groups</t>
  </si>
  <si>
    <t>4.1.3</t>
  </si>
  <si>
    <t>Developed and applied effective strategies in the planning and management of developmentally sequenced teaching and learning processes  to meet curriculum requirements and varied teaching
contexts</t>
  </si>
  <si>
    <t>4.2.3</t>
  </si>
  <si>
    <t>Modelled to colleagues the setting of achievable and challenging learning outcomes that are aligned with learning competencies to cultivate a culture of excellence for all learners</t>
  </si>
  <si>
    <t>4.3.3</t>
  </si>
  <si>
    <t>Worked collaboratively with colleagues to evaluate the design of learning programs that develop the knowledge and skills of learners at different ability levels</t>
  </si>
  <si>
    <t>4.4.3</t>
  </si>
  <si>
    <t>Reviewed with colleagues, teacher and learner feedback to plan, facilitate and enrich teaching practice</t>
  </si>
  <si>
    <t>4.5.3</t>
  </si>
  <si>
    <t>Advised and guided colleagues  in the selection, organization, development and use of appropriate teaching and learning resources, including ICT, to address specific learning goals</t>
  </si>
  <si>
    <t>5.1.3</t>
  </si>
  <si>
    <t>Worked collaboratively with colleagues to review the design, selection, organization and use of a range of effective diagnostic, formative and summative assessment strategies consistent with curriculum requirements</t>
  </si>
  <si>
    <t>5.2.3</t>
  </si>
  <si>
    <t>Interpreted collaboratively monitoring and evaluation strategies of attainment data to support learner progress and achievement</t>
  </si>
  <si>
    <t>5.3.3</t>
  </si>
  <si>
    <t>Used effective strategies for providing timely, accurate and constructive feedback to encourage learners to reflect on and improve their own learning</t>
  </si>
  <si>
    <t>5.4.3</t>
  </si>
  <si>
    <t>Applied skills in the effective communication of learner needs, progress and achievement to key stakeholders, including parents/guardians</t>
  </si>
  <si>
    <t>5.5.3</t>
  </si>
  <si>
    <t>Worked collaboratively with colleagues to analyze and utilize assessment data to modify practices and programs to further support learner progress and achievement</t>
  </si>
  <si>
    <t>6.1.3</t>
  </si>
  <si>
    <t>Reflected on and evaluated learning environments that are responsive to community contexts</t>
  </si>
  <si>
    <t>6.2.3</t>
  </si>
  <si>
    <t>Guided colleagues to strengthen relationships with parents/ guardians and the wider school community to maximize their involvement in the educative process</t>
  </si>
  <si>
    <t>6.3.3</t>
  </si>
  <si>
    <t>Discussed with colleagues teaching and learning practices that apply existing codes, laws and regulations that apply to the teaching profession, and the responsibilities specified in the Code of Ethics for Professional Teachers</t>
  </si>
  <si>
    <t>6.4.3</t>
  </si>
  <si>
    <t>Exhibited commitment to and supported teachers in the implementation of school policies and procedures to foster harmonious relationships with learners, parents and other stakeholders</t>
  </si>
  <si>
    <t>7.1.3</t>
  </si>
  <si>
    <t>Manifested a learner-centered teaching philosophy in various aspects of practice and support colleagues in enhancing their own learner-centered teaching philosophy</t>
  </si>
  <si>
    <t>7.2.3</t>
  </si>
  <si>
    <t>Identified and utilized personal professional strengths to uphold the dignity of teaching as a profession to help build a positive teaching and learning culture within the school</t>
  </si>
  <si>
    <t>7.3.3</t>
  </si>
  <si>
    <t>Contributed actively to professional networks within and between schools to improve knowledge and to enhance practice</t>
  </si>
  <si>
    <t>7.4.3</t>
  </si>
  <si>
    <t>Initiated professional reflections and promote learning opportunities with colleagues to improve practice</t>
  </si>
  <si>
    <t>7.5.3</t>
  </si>
  <si>
    <t>Reflected on the Philippine Professional Standards for Teachers to plan personal professional development goals and assist colleagues in planning and achieving their own goals</t>
  </si>
  <si>
    <t>Performed various related works/activities that contribute to the teaching-learning process</t>
  </si>
  <si>
    <t>Demonstrated Level 8 in the objective as shown in COT rating sheets / inter-observer agreement forms</t>
  </si>
  <si>
    <t>Demonstrated Level 4 in the objective as shown in COT rating sheets / inter-observer agreement forms
or
No acceptable evidence was shown</t>
  </si>
  <si>
    <t>Conducted, completed and disseminated action research with colleagues</t>
  </si>
  <si>
    <t>Conducted and Completed action research with colleagues</t>
  </si>
  <si>
    <t>Conducted action research with colleagues</t>
  </si>
  <si>
    <t>Proposed action research with colleagues</t>
  </si>
  <si>
    <t>Submitted any 4 of the acceptable MOV</t>
  </si>
  <si>
    <t>Submitted any 3 of  the acceptable MOV</t>
  </si>
  <si>
    <t>Submitted any 2 of  the acceptable MOV</t>
  </si>
  <si>
    <t>Submitted any 1 of  the acceptable MOV</t>
  </si>
  <si>
    <t>Presented the research report within the rating period</t>
  </si>
  <si>
    <t>Completed the research report within the rating period</t>
  </si>
  <si>
    <t>Conducted the research report within the rating period</t>
  </si>
  <si>
    <t>Proposed the research report within the rating period</t>
  </si>
  <si>
    <t>Modelled effective strategies in
utilizing ICT that redefine and transform learning experiences and
are documented properly and consistently using any referencing style as shown in the submitted learning material</t>
  </si>
  <si>
    <t>Modelled effective strategies in
utilizing ICT that augment and
enrich learning experiences are
documented properly and consistently using any referencing style as shown in the submitted learning material</t>
  </si>
  <si>
    <t>Modelled effective strategies in utilizing ICT that modify processes and improve learning experiences and are documented properly and
consistently using any referencing style as shown in the submitted learning material</t>
  </si>
  <si>
    <t>Modelled strategies in utilizing ICT but do not create a new learning experience and/or ICT used are documented but not consistent with one referencing style as shown in the submitted learning material</t>
  </si>
  <si>
    <t>Guided colleagues in the planning for the evaluation of the effectiveness of teaching strategies that promote learner achievement in literacy and numeracy during meetings/LAC sessions / FGDs / other collegial discussions, as shown in MOV 4</t>
  </si>
  <si>
    <t>Synthesized discussions with colleagues on the evaluation of effectiveness of teaching strategies that promote learner achievement in literacy and numeracy during meetings/LAC sessions / FGDs / other collegial discussions, as shown in MOV 3</t>
  </si>
  <si>
    <t>Evaluated with colleagues the effectiveness of teaching strategies that promote learner achievement in literacy and numeracy during meetings/LAC sessions / FGDs / other collegial discussions, as shown in MOV 2</t>
  </si>
  <si>
    <t>Attended coaching and mentoring sessions/ meetings/LAC sessions / FGDs / other collegial discussions that evaluate effectiveness of teaching strategies that promote learner achievement in literacy and numeracy, as shown in MOV 1</t>
  </si>
  <si>
    <t>Evaluated with colleagues the effectiveness of teaching strategies that promote learner achievement in literacy and numeracy across 4 quarters</t>
  </si>
  <si>
    <t>Evaluated with colleagues the effectiveness of teaching strategies that promote learner achievement in literacy and numeracy across 3 quarters</t>
  </si>
  <si>
    <t>Evaluated with colleagues the effectiveness of teaching strategies that promote learner achievement in literacy and numeracy across 2 quarters</t>
  </si>
  <si>
    <t>Evaluated with colleagues the effectiveness of teaching strategies that promote learner achievement in literacy and numeracy only 1 quarter</t>
  </si>
  <si>
    <t>Modelled Level 8 as shown in COT rating sheets / inter-observer agreement forms</t>
  </si>
  <si>
    <t>Modelled Level 7as shown in COT rating sheets / inter-observer agreement forms</t>
  </si>
  <si>
    <t>Modelled Level 6 as shown in COT rating sheets / inter-observer agreement forms</t>
  </si>
  <si>
    <t>Modelled Level 5 as shown in COT rating sheets / inter-observer agreement forms</t>
  </si>
  <si>
    <t>Modelled Level 4 as shown in COT rating sheets  / inter-observer agreement forms or No acceptable evidence was shown</t>
  </si>
  <si>
    <t>Modelled Level 8 as shown in COT rating sheets</t>
  </si>
  <si>
    <t>Modelled Level 7as shown in COT rating sheets</t>
  </si>
  <si>
    <t>Modelled Level 6 as shown in COT rating sheets</t>
  </si>
  <si>
    <t>Modelled Level 5 as shown in COT rating sheets</t>
  </si>
  <si>
    <t>Modelled Level 4 as shown in COT rating sheets or No acceptable evidence was shown</t>
  </si>
  <si>
    <t>Modelled varying strategies that sustain a supportive learning environment for learners to recognize each other’s learning strengths and value the contribution of others as evidenced by the submitted learning material</t>
  </si>
  <si>
    <t xml:space="preserve">Modelled varying strategies that sustain a supporting learning environment and feature all elements of collaborative learning as shown in the submitted learning material  </t>
  </si>
  <si>
    <t>Modelled effective strategies that promote a supportive learning environment and engage learners to participate, cooperate, and/or collaborate in continued learning as shown in the submitted learning materials</t>
  </si>
  <si>
    <t>Modelled an effective strategy that promote a supportive learning environment and engage learners to participate, cooperate, and/or collaborate in class discussions as shown in the submitted learning materials</t>
  </si>
  <si>
    <t>Modelled and discussed with colleagues effective strategies that reflect modifications in teaching practices to sustain learner motivation in monitoring and evaluating their own learning as shown in the submitted learning material</t>
  </si>
  <si>
    <t>Modelled and discussed with colleagues consistent application of teaching practices that successfully motivate learners to monitor and evaluate their own learning as shown in the submitted learning material</t>
  </si>
  <si>
    <t>Modelled and discussed with colleagues varied teaching practices that successfully motivate learners to work productively by assuming responsibility for their own learning as shown in the submitted learning material</t>
  </si>
  <si>
    <t>Modelled and discussed with colleagues a teaching practice that successfully motivate learners to work productively by assuming responsibility for their own learning as shown in the submitted learning material</t>
  </si>
  <si>
    <t>Demonstrated Level 8 in the objective as shown in COT rating sheets / inter-observer agreement forms or in lesson plan and annotation provided</t>
  </si>
  <si>
    <t>Demonstrated Level 7 in the objective as shown in COT rating sheets / inter-observer agreement forms or in lesson plan and annotation provided</t>
  </si>
  <si>
    <t>Demonstrated Level 6 in the objective as shown in COT rating sheets / inter-observer agreement forms or in lesson plan and annotation provided</t>
  </si>
  <si>
    <t>Demonstrated Level 5 in the objective as shown in COT rating sheets / inter-observer agreement forms or in lesson plan and annotation provided</t>
  </si>
  <si>
    <t>Demonstrated Level 4 in the objective as shown in COT rating sheets / inter-observer agreement forms or in lesson plan and annotation provided
or
No acceptable evidence was shown</t>
  </si>
  <si>
    <t>Guided colleagues in planning for the setting of achievable and challenging learning outcomes that are aligned with learning competencies, as shown in the MOV submitted</t>
  </si>
  <si>
    <t>Synthesized with colleagues discussions on setting of achievable and challenging learning outcomes that are aligned with learning competencies, as shown in the MOV submitted</t>
  </si>
  <si>
    <t>Modeled to colleagues the setting of achievable and challenging learning outcomes that are aligned with learning competencies, as shown in the MOV submitted</t>
  </si>
  <si>
    <t>Attended coaching and mentoring sessions/meetings/LAC sessions/FGDs/ Other collegial discussions on setting of achievable and challenging learning outcomes that are aligned with learning competencies, as shown in the MOV submitted</t>
  </si>
  <si>
    <t>Modeled to colleagues the setting of achievable and challenging learning outcomes that are aligned with learning competencies across 4 quarters</t>
  </si>
  <si>
    <t>Modeled to colleagues the setting of achievable and challenging learning outcomes that are aligned with learning competencies across 3 quarters</t>
  </si>
  <si>
    <t>Modeled to colleagues the setting of achievable and challenging learning outcomes that are aligned with learning competencies across 2 quarters</t>
  </si>
  <si>
    <t>Modeled to colleagues the setting of achievable and challenging learning outcomes that are aligned with learning competencies in only 1 quarter</t>
  </si>
  <si>
    <t>Worked with colleagues in redesigning learning programs based on the list of recommendations as evidenced by MOV No. 1</t>
  </si>
  <si>
    <t xml:space="preserve">Worked with colleagues in listing detailed recommendations on improving the design of learning programs based on the results of evaluation as evidenced by MOV No. 2
</t>
  </si>
  <si>
    <t>Worked with colleagues in evaluating the design of learning programs that develop the knowledge and skills of learners at different ability levels as evidenced by MOV No. 3</t>
  </si>
  <si>
    <t>Evaluated the design of learning programs that develop the knowledge and skills of learners at different ability levels
without the help of colleagues as evidenced by MOV No. 4</t>
  </si>
  <si>
    <t>Guided colleagues in planning for coaching and mentoring sessions, meetings/LAC sessions / FGDs / other collegial discussions to plan facilitate, and enrich their teaching practice through the use of teacher and learner feedback, as evidenced by MOV 2 or MOV 3</t>
  </si>
  <si>
    <t>Synthesized discussions with colleagues on the review of teacher and learner feedback, as evidenced by MOV 2 highlighting the agreements and recommendations during coaching and mentoring sessions, meetings/LAC sessions / FGDs / other collegial discussions</t>
  </si>
  <si>
    <t>Reviewed with colleagues teacher and learner feedback through coaching and mentoring sessions, meetings/LAC sessions / FGDs / other collegial discussions, as evidenced by MOV 2</t>
  </si>
  <si>
    <t>Planned for the conduct of coaching and mentoring sessions, meetings/LAC sessions / FGDs / other collegial discussions to review teacher and learner feedback, as evidenced by MOV 1</t>
  </si>
  <si>
    <t>Facilitated collegial discussions that review teacher and learner feedback with colleagues across 4 quarters</t>
  </si>
  <si>
    <t>Facilitated collegial discussions that review teacher and learner feedback with colleagues across 3 quarters</t>
  </si>
  <si>
    <t>Facilitated collegial discussions that review teacher and learner feedback with colleagues across 2 quarters</t>
  </si>
  <si>
    <t>Facilitated collegial discussion that review teacher and learner feedback with colleagues in only 1 quarter</t>
  </si>
  <si>
    <t>Guided colleagues in planning for the selection, organization, development and use of appropriate teaching and learning resources, including ICT, to address specific learning goals, during coaching and mentoring sessions/ meetings/LAC sessions / FGDs / other collegial discussions, as shown in MOV 4</t>
  </si>
  <si>
    <t>Synthesized discussions with colleagues on the selection, organization, development and use of appropriate teaching and learning resources, including ICT, to address specific learning goals, during coaching and mentoring sessions/ meetings/LAC sessions / FGDs / other collegial discussions, as shown in MOV 3</t>
  </si>
  <si>
    <t>Advised and guided colleagues in the selection, organization, development and use of appropriate teaching and learning resources, including ICT, to address specific learning goals during coaching and mentoring sessions/ meetings/LAC sessions / FGDs / other collegial discussions, as shown in MOV 2</t>
  </si>
  <si>
    <t>Attended coaching and mentoring sessions/ meetings/LAC sessions / FGDs / other collegial discussions on the selection, organization, development and use of appropriate teaching and learning resources, including ICT, to address specific learning goals, as shown in MOV 1</t>
  </si>
  <si>
    <t>Advised and guided colleagues across 4 quarters</t>
  </si>
  <si>
    <t>Advised and guided colleagues across 3 quarters</t>
  </si>
  <si>
    <t>Advised and guided colleagues across 2 quarters</t>
  </si>
  <si>
    <t>Advised and guided colleagues in only 1 quarter</t>
  </si>
  <si>
    <t>Guided colleagues in planning for the review of the design, selection, organization and use of a range of effective diagnostic, formative and summative assessment strategies consistent with curriculum requirements during coaching and mentoring sessions/ meetings/LAC sessions / FGDs / other collegial discussions, as evidenced by MOV 5 or MOV 4</t>
  </si>
  <si>
    <t>Synthesized discussions with colleagues on the design, selection, organization and use of a range of effective diagnostic, formative and summative assessment strategies consistent with curriculum requirements, during coaching and mentoring sessions/ meetings/LAC sessions / FGDs / other collegial discussions, as evidenced by MOV 4 or MOV 3</t>
  </si>
  <si>
    <t>Conducted coaching and mentoring sessions/ meetings/LAC sessions / FGDs / other collegial discussions to review the design, selection, organization and use of a range of effective diagnostic, formative and summative assessment strategies consistent with curriculum requirements, as evidenced by the MOV 4 or MOV 3</t>
  </si>
  <si>
    <t>Planned for the conduct of coaching and mentoring sessions/ meetings/LAC sessions / FGDs / other collegial discussions to review the design, selection, organization and use of a range of effective diagnostic, formative and summative assessment strategies consistent with curriculum requirements, as evidenced by the MOV 1 or MOV 2</t>
  </si>
  <si>
    <t>Worked collaboratively with colleagues across 4 quarters</t>
  </si>
  <si>
    <t>Worked collaboratively with colleagues across 3 quarters</t>
  </si>
  <si>
    <t>Worked collaboratively with colleagues across 2 quarters</t>
  </si>
  <si>
    <t>Worked collaboratively with colleagues in only 1 quarter</t>
  </si>
  <si>
    <t>Guided colleagues in the planning for the application of results of interpretation of monitoring and evaluation strategies of attainment data to support learner progress and achievement during coaching and mentoring sessions/ meetings/LAC sessions / FGDs / other collegial discussions, as evidenced by MOV 5 or MOV 4</t>
  </si>
  <si>
    <t>Synthesized discussions with colleagues on monitoring and evaluation of strategies of attainment data during coaching and mentoring sessions/ meetings/LAC sessions / FGDs / other collegial discussions as evidenced by MOV 4 or MOV 3</t>
  </si>
  <si>
    <t>Conducted coaching and mentoring sessions/ meetings/LAC sessions / FGDs / other collegial discussions to interpret collaboratively monitoring and evaluation strategies of attainment data, as evidenced by the MOV 4 or MOV 3</t>
  </si>
  <si>
    <t>Planned for the conduct of coaching and mentoring sessions/ meetings/LAC sessions / FGDs / other collegial discussions to interpret collaboratively monitoring and evaluation strategies of attainment data, as evidenced by the MOV 1 or MOV 2</t>
  </si>
  <si>
    <t>Collaborated with colleagues in the interpretation of attainment data across 4 quarters</t>
  </si>
  <si>
    <t>Collaborated with colleagues in the interpretation of assessment data across 3 quarters</t>
  </si>
  <si>
    <t>Collaborated with colleagues in the interpretation of assessment data across 2 quarters</t>
  </si>
  <si>
    <t>Collaborated with colleagues in the interpretation of assessment data in only 1 quarter</t>
  </si>
  <si>
    <t>Utilized effective strategies to communicate learner needs, progress and achievement to wider-school community stakeholders as evidenced by submitted MOV</t>
  </si>
  <si>
    <t>Utilized effective strategies to communicate learner needs, progress and achievement to parents / guardians as evidenced by submitted MOV</t>
  </si>
  <si>
    <t>Utilized effective strategies to communicate learner needs, progress and achievement to internal stakeholders (e.g., co- teachers, school leaders, non- teaching staff) as evidenced by submitted MOV</t>
  </si>
  <si>
    <t>Utilized effective strategies to communicate learner needs, progress and achievement to learners within the class as evidenced by submitted MOV</t>
  </si>
  <si>
    <t>Showed application of skills in the effective communication of learner needs, progress and achievement across 4 quarters</t>
  </si>
  <si>
    <t>Showed application of skills in the effective communication of learner needs, progress and achievement across 3 quarters</t>
  </si>
  <si>
    <t>Showed application of skills in the effective communication of learner needs, progress and achievement across 2 quarters</t>
  </si>
  <si>
    <t>Showed application of skills in the effective communication of learner needs, progress and achievement in only 1 quarter</t>
  </si>
  <si>
    <t>Guided colleagues in planning for the analysis and utilization of assessment data to modify practices and programs during coaching and mentoring sessions/meetings/LAC sessions/FGDs/other collegial discussions as evidenced by MOV 4 or MOV 5</t>
  </si>
  <si>
    <t>Synthesized discussions with colleagues on the analysis and utilization of assessment data to modify practices and programs during coaching and mentoring sessions/meetings/LAC sessions/FGDs/other collegial discussions as evidenced by MOV 3 or MOV 4</t>
  </si>
  <si>
    <t>Conducted collaborative discussions to analyze and utilize assessment data to modify practices and programs, as evidenced by the MOV 3 or MOV 4</t>
  </si>
  <si>
    <t>Planned for the conduct of coaching and mentoring sessions/meetings/LAC sessions/FGDs/other collegial discussions to interpret collaboratively monitoring and evaluation strategies of attainment data, as evidenced by the MOV 1 or MOV 2</t>
  </si>
  <si>
    <t>Collaborated with colleagues in the interpretation of attainment data across 3 quarters</t>
  </si>
  <si>
    <t>Collaborated with colleagues in the interpretation of attainment data across 2 quarters</t>
  </si>
  <si>
    <t>Collaborated with colleagues in the interpretation of attainment data in only 1 quarter</t>
  </si>
  <si>
    <t>Synthesized the evaluations from the wider school community of the programs, projects, and/or activities that maintain the learning environment responsive to community context as evidenced by MOV No. 1</t>
  </si>
  <si>
    <t>Consulted parents, guardians, and/or other external stakeholders on programs, projects, and/or activities that maintain the learning environments responsive to community context to reflect on and evaluate them as evidenced by MOV No. 2</t>
  </si>
  <si>
    <t>Conducted FGD with teachers on programs, projects, and/or activities that maintain the learning environments responsive to community context to reflect on and evaluate them as evidenced by MOV No. 3</t>
  </si>
  <si>
    <t>Conducted a survey to gather feedback on programs, projects, and/or activities that are responsive to community contexts as evidenced by MOV No. 4</t>
  </si>
  <si>
    <t>Guided colleagues in planning for strengthening relationships with parents/guardians and the wider school community during coaching and mentoring sessions/LAC sessions/FGDs/other collegial discussions as shown in MOV 4</t>
  </si>
  <si>
    <t>Synthesized discussions with colleagues to strengthen relationships with parents/guardians and the wider school community, as shown in MOV 3</t>
  </si>
  <si>
    <t>Advised and guided colleagues to strengthen relationships with parents/guardians and the wider school community during coaching and mentoring sesions/meetings/LAC sessions/FGDs/other collegial discussions as shown in MOV 2</t>
  </si>
  <si>
    <t>Attended coaching and mentoring sessions/meetings/LAC sessions/FGDs/ other collegial discussions on strengthening relationships with parents/guardians and the wider school community, as shown in MOV 1</t>
  </si>
  <si>
    <t>Guided colleagues across 4 quarters</t>
  </si>
  <si>
    <t>Guided colleagues across 3 quarters</t>
  </si>
  <si>
    <t>Guided colleagues across 2 quarters</t>
  </si>
  <si>
    <t>Guided colleagues in only 1 quarter</t>
  </si>
  <si>
    <t>Discussed with colleagues teaching and learning practices that adhere to laws, regulations, and responsibilities specified in the Code of Ethics for Professional Teachers and reviewed the annotated evidence of practice of colleagues as evidenced by MOV No. 1</t>
  </si>
  <si>
    <t xml:space="preserve">Discussed with colleagues teaching and learning practices that adhere to laws, regulations, and responsibilities specified in the Code of Ethics for Professional Teachers and reviewed the personal reflection notes of colleagues as evidenced by MOV No. 2 </t>
  </si>
  <si>
    <t>Discussed with colleagues teaching and learning practices that adhere to laws, regulations, and responsibilities specified in the Code of Ethics for Professional Teachers as evidenced by MOV No. 3</t>
  </si>
  <si>
    <t>Planned for a discussion of teaching and learning practices that adhere to laws, regulations, and responsibilities specified in the Code of Ethics for Professional Teachers as evidenced by MOV No. 4</t>
  </si>
  <si>
    <t>Evaluated with teachers the implementation of certain school policies and procedures as evidenced by MOV No. 1</t>
  </si>
  <si>
    <t>Conducted discussions with teachers on the progress of implementation of certain school policies and procedures as evidenced by MOV No. 2</t>
  </si>
  <si>
    <t>Discussed with teachers certain school policies and procedures for uniform implementation as evidenced by MOV No. 3</t>
  </si>
  <si>
    <t>Implemented school policies and procedures as evidenced by MOV No. 4</t>
  </si>
  <si>
    <t>No evidence was shown</t>
  </si>
  <si>
    <t>Submitted MOV that details the consistent involvement of learners in the teaching- learning process resulting from the application of a personal philosophy of teaching that is learner- centered</t>
  </si>
  <si>
    <t>Submitted MOV that reflects involvement of learners in the teaching- learning process resulting from the application of a personal philosophy of teaching that is learner- centered</t>
  </si>
  <si>
    <t>Applied a personal philosophy of teaching that is learner- centered across 4 quarters</t>
  </si>
  <si>
    <t>Applied a personal philosophy of teaching that is learner- centered across 3 quarters</t>
  </si>
  <si>
    <t>Applied a personal philosophy of teaching that is learner- centered across 1 quarters</t>
  </si>
  <si>
    <r>
      <t xml:space="preserve">Identified and utilized personal professional strengths </t>
    </r>
    <r>
      <rPr>
        <sz val="9"/>
        <color theme="1"/>
        <rFont val="Calibri"/>
        <family val="2"/>
        <scheme val="minor"/>
      </rPr>
      <t xml:space="preserve">to uphold the dignity of teaching as a profession to help build a positive teaching and learning culture within the school by inspiring unity in responding to potential threats and risks to the school community </t>
    </r>
    <r>
      <rPr>
        <sz val="9"/>
        <color rgb="FF000000"/>
        <rFont val="Calibri"/>
        <family val="2"/>
        <scheme val="minor"/>
      </rPr>
      <t>as evidenced by MOV No. 1</t>
    </r>
  </si>
  <si>
    <r>
      <t xml:space="preserve">Identified and utilized personal professional strengths </t>
    </r>
    <r>
      <rPr>
        <sz val="9"/>
        <color theme="1"/>
        <rFont val="Calibri"/>
        <family val="2"/>
        <scheme val="minor"/>
      </rPr>
      <t xml:space="preserve">to uphold the dignity of teaching as a profession to help build a positive teaching and learning culture within the school by initiating activities to avoid potential threats and risks to the school community as </t>
    </r>
    <r>
      <rPr>
        <sz val="9"/>
        <color rgb="FF000000"/>
        <rFont val="Calibri"/>
        <family val="2"/>
        <scheme val="minor"/>
      </rPr>
      <t>evidenced by MOV No. 2</t>
    </r>
  </si>
  <si>
    <r>
      <t xml:space="preserve">Identified and utilized personal professional strengths </t>
    </r>
    <r>
      <rPr>
        <sz val="9"/>
        <color theme="1"/>
        <rFont val="Calibri"/>
        <family val="2"/>
        <scheme val="minor"/>
      </rPr>
      <t>to uphold the dignity of teaching as a profession to help build a positive teaching and learning culture within the school in responding to an issue or a challenging situation</t>
    </r>
    <r>
      <rPr>
        <sz val="9"/>
        <color rgb="FF000000"/>
        <rFont val="Calibri"/>
        <family val="2"/>
        <scheme val="minor"/>
      </rPr>
      <t xml:space="preserve"> as evidenced by MOV No. 3</t>
    </r>
  </si>
  <si>
    <r>
      <t xml:space="preserve">Identified </t>
    </r>
    <r>
      <rPr>
        <sz val="9"/>
        <color rgb="FF000000"/>
        <rFont val="Calibri"/>
        <family val="2"/>
        <scheme val="minor"/>
      </rPr>
      <t>personal professional strengths that uphold the dignity of teaching as a profession as evidenced by MOV No. 4</t>
    </r>
  </si>
  <si>
    <t>Contributed actively to any professional network/activity that requires output* and proof of implementation** within the school to share knowledge and to enhance practice as evidenced by the submitted MOV</t>
  </si>
  <si>
    <t>Contributed actively to any professional network/activity that requires output* and proof of implementation ** within the department/ grade level to share knowledge and to enhance practice as evidenced by the submitted MOV</t>
  </si>
  <si>
    <t>Contributed actively to any professional network/activity that requires output* to share knowledge and to enhance practice as evidenced by the submitted MOV</t>
  </si>
  <si>
    <t>Contributed actively to any professional network/activity that does not require output to share knowledge and to enhance practice as evidenced by the submitted MOV</t>
  </si>
  <si>
    <t>Contributed actively to professional networks across 4 quarters</t>
  </si>
  <si>
    <t>Contributed actively to professional networks across 3 quarters</t>
  </si>
  <si>
    <t>Contributed actively to professional networks across 2 quarters</t>
  </si>
  <si>
    <t>Contributed actively to professional networks in only 1 quarter</t>
  </si>
  <si>
    <t>Guided colleagues in planning for professional reflections and other learning opportunities to improve practuce during coaching and mentoring sessions/meetings/LAC sessions/FGDs/ other activities, as shown in the MOV 4, 5 or 6</t>
  </si>
  <si>
    <t>Conducted coaching and mentoring sessions/meetings/LAC sessions/FGDs/other activities involving colleague/s in professional reflection and learning opportunities as shown in the MOV 3, 4 or 5</t>
  </si>
  <si>
    <t>Planned coaching and mentoring sessions/meetings/LAC sessions/FGDs/other activities involving colleagues in professional reflection and learning opportunities as shown in MOV 2</t>
  </si>
  <si>
    <t>Attended coaching and mentoring sessions/meetings/LAC sessions/FGDs/ other activities that promote professional relfections and learning opportunities, as shown in MOV 1</t>
  </si>
  <si>
    <t>Updated professional development goals during Phase II of the RPMS Cycle as evidenced by MOV 5</t>
  </si>
  <si>
    <t>Discussed progress on professional development goals with the rater during the mid-year review as evidenced by MOV 4</t>
  </si>
  <si>
    <t>Set professional development goals based on e-SAT results as evidenced by MOV 2 or MOV 3</t>
  </si>
  <si>
    <t>All submitted MOVs were accomplished within the prescribed RPMS Phase</t>
  </si>
  <si>
    <t>Performed at least one (1) related work / activity that contributed to the teaching-learning process beyond the school / Community Learning Center (CLC) as evidenced by submitted MOV</t>
  </si>
  <si>
    <t>Performed at least one (1) related work / activity that contributed to the teaching-learning process within the school / Community Learning Center (CLC) as evidenced by submitted MOV</t>
  </si>
  <si>
    <t>Performed at least one (1) related work / activity that contributed to the teaching-learning process within the learning area / department as evidenced by submitted MOV</t>
  </si>
  <si>
    <t>Performed at least one (1) related work / activity that contributed to the teaching-learning process within the class as evidenced by submitted MOV</t>
  </si>
  <si>
    <t>Submitted MOV that details the achieved positive contribution to the teaching- learning process, as evidenced by the annotation provided.</t>
  </si>
  <si>
    <t>Submitted MOV that details the perceived positive contribution to the teaching- learning process, as evidenced by the annotation provided.</t>
  </si>
  <si>
    <t>Submitted MOV that shows reasonable interlap with the actual teaching- learning process, as evidenced by the annotation provided.</t>
  </si>
  <si>
    <t>Submitted MOV that shows considerable overlap with, hence significantly affecting the performance of the actual teaching-learning process.</t>
  </si>
  <si>
    <t>Planned and delivered teaching strategies that are responsive to the special educational needs of learners in difficult circumstances*, including: geographic isolation; chronic illness; displacement due to armed conflict, urban resettlement or disasters; child abuse and child labor practices</t>
  </si>
  <si>
    <r>
      <t xml:space="preserve">Used research-based knowledge and/or principles of teaching and learning in all the components of instruction in the lesson plan / script </t>
    </r>
    <r>
      <rPr>
        <sz val="9"/>
        <color rgb="FF000000"/>
        <rFont val="Calibri"/>
        <family val="2"/>
        <scheme val="minor"/>
      </rPr>
      <t>to improve student learning</t>
    </r>
  </si>
  <si>
    <r>
      <t xml:space="preserve">Used research-based knowledge and/or principles of teaching and learning in two components of instruction in the lesson plan </t>
    </r>
    <r>
      <rPr>
        <sz val="9"/>
        <color theme="1"/>
        <rFont val="Calibri"/>
        <family val="2"/>
        <scheme val="minor"/>
      </rPr>
      <t xml:space="preserve">/ script </t>
    </r>
    <r>
      <rPr>
        <sz val="9"/>
        <color rgb="FF000000"/>
        <rFont val="Calibri"/>
        <family val="2"/>
        <scheme val="minor"/>
      </rPr>
      <t>to improve student learning</t>
    </r>
  </si>
  <si>
    <r>
      <t xml:space="preserve">Used research-based knowledge and/or principles of teaching and learning in one component of instruction in the lesson plan </t>
    </r>
    <r>
      <rPr>
        <sz val="9"/>
        <color theme="1"/>
        <rFont val="Calibri"/>
        <family val="2"/>
        <scheme val="minor"/>
      </rPr>
      <t xml:space="preserve">/ script </t>
    </r>
    <r>
      <rPr>
        <sz val="9"/>
        <color rgb="FF000000"/>
        <rFont val="Calibri"/>
        <family val="2"/>
        <scheme val="minor"/>
      </rPr>
      <t>to improve student learning</t>
    </r>
  </si>
  <si>
    <t>Use of research-based knowledge and/or principle of teaching and learning is identified but was poorly used as basis for planning / designing the lesson / script.</t>
  </si>
  <si>
    <t>Ensured that the ICT used modify processes and improve learning experiences and are documented properly and consistently using any referencing style as shown in the submitted learning material</t>
  </si>
  <si>
    <t>Applied teaching strategies that challenge learners to draw conclusions and justify their thinking or put parts together to promote deeper understanding of ideas learned as shown in the submitted learning material</t>
  </si>
  <si>
    <t>Applied teaching strategies that require learners to make connections using ideas learned as shown in the submitted learning material</t>
  </si>
  <si>
    <t>Applied teaching strategies that require learners to describe and explain ideas learned as shown in the submitted learning material</t>
  </si>
  <si>
    <t>Applied teaching strategies that lead learners along a single path of inquiry and/or to simple recall and rote memorization of concepts as shown in the submitted learning material</t>
  </si>
  <si>
    <t>Used classroom management strategies that engage learners in activities/tasks as shown in the Main MOV with a rating of 7</t>
  </si>
  <si>
    <t>Used classroom management strategies that engage learners in activities/tasks as shown in the Main MOV with a rating of 6</t>
  </si>
  <si>
    <t>Used classroom management strategies that engage learners in activities/tasks as shown in the Main MOV with a rating of 5</t>
  </si>
  <si>
    <t>Used classroom management strategies that engage learners in activities/tasks as shown in the Main MOV with a rating of 4</t>
  </si>
  <si>
    <t>Submitted 4 Main MOV, each with any 1 of the Supporting MOV</t>
  </si>
  <si>
    <t>Submitted 3 Main MOV, each with any 1 of the Supporting MOV</t>
  </si>
  <si>
    <t>Submitted 2 Main MOV, each with any 1 of the Supporting MOV</t>
  </si>
  <si>
    <t>Submitted 1 Main MOV with any 1 of the Supporting MOV</t>
  </si>
  <si>
    <t>Provided effective and varying learning opportunities that are well-aligned with the learning goals and feature all elements of collaborative learning as shown in the submitted learning materials</t>
  </si>
  <si>
    <t>Applied teacher management strategies of learner behavior that promote positive and non-violent discipline as shown in the MOV with a rating of 7</t>
  </si>
  <si>
    <t>Applied teacher management strategies of learner behavior that promote positive and non-violent discipline as shown in the MOV with a rating of 6</t>
  </si>
  <si>
    <t>Applied teacher management strategies of learner behavior that promote positive and non-violent discipline as shown in the MOV with a rating of 5</t>
  </si>
  <si>
    <t>Applied teacher management strategies of learner behavior that promote positive and non-violent discipline as shown in the MOV with a rating of 4</t>
  </si>
  <si>
    <t>Submitted 4 COT rating sheets/inter- observer agreement forms, each with 4 strategies as noted in the comment section</t>
  </si>
  <si>
    <t>Submitted 3 COT rating sheets/inter- observer agreement forms, each with 4 strategies as noted in the comment section</t>
  </si>
  <si>
    <t>Submitted 2 COT rating sheets/inter- observer agreement forms, each with 4 strategies as noted in the comment section</t>
  </si>
  <si>
    <t>Submitted 1 COT rating sheet/inter- observer agreement form with any 1 of the given strategies as noted in the comment section</t>
  </si>
  <si>
    <t>Applied differentiated teaching strategies to address learner diversity as shown in the Main MOV with a rating of 7</t>
  </si>
  <si>
    <t>Applied differentiated teaching strategies to address learner diversity as shown in the Main MOV with a rating of 6</t>
  </si>
  <si>
    <t>Applied differentiated teaching strategies to address learner diversity as shown in the Main MOV with a rating of 5</t>
  </si>
  <si>
    <t>Applied differentiated teaching strategies to address learner diversity as shown in the Main MOV with a rating of 4</t>
  </si>
  <si>
    <t>No acceptable evidence shown</t>
  </si>
  <si>
    <t>Submitted  2 Main MOV with 4 differentiated teaching strategies as observed in 2 lessons, each with any 1 of the Supporting MOV</t>
  </si>
  <si>
    <t>Submitted 2 Main MOV  with 3 differentiated teaching strategies as observed in 2 lessons, each with any 1 of the Supporting MOV</t>
  </si>
  <si>
    <t>Submitted 2 Main MOV with 2 differentiated teaching strategies as observed in 2 lessons, each with any 1 of the Supporting MOV</t>
  </si>
  <si>
    <t>Submitted 1 Main MOV  with 1 differentiated teaching strategy as observed in 1 lesson with  any 1 of the Supporting MOV</t>
  </si>
  <si>
    <r>
      <t xml:space="preserve">Utilized effective teaching strategies that are appropriate in responding to learners’ linguistic, cultural, socioeconomic, or religious backgrounds at an individual level* </t>
    </r>
    <r>
      <rPr>
        <sz val="9"/>
        <color rgb="FF000000"/>
        <rFont val="Calibri"/>
        <family val="2"/>
        <scheme val="minor"/>
      </rPr>
      <t>as shown in the submitted learning material</t>
    </r>
  </si>
  <si>
    <r>
      <t xml:space="preserve">Utilized effective teaching strategies that are appropriate in responding to learners’ linguistic, cultural, socioeconomic, or religious backgrounds at a group level* </t>
    </r>
    <r>
      <rPr>
        <sz val="9"/>
        <color rgb="FF000000"/>
        <rFont val="Calibri"/>
        <family val="2"/>
        <scheme val="minor"/>
      </rPr>
      <t>as shown in the submitted learning material</t>
    </r>
  </si>
  <si>
    <r>
      <t xml:space="preserve">Utilized an </t>
    </r>
    <r>
      <rPr>
        <sz val="9"/>
        <color theme="1"/>
        <rFont val="Calibri"/>
        <family val="2"/>
        <scheme val="minor"/>
      </rPr>
      <t>effective</t>
    </r>
    <r>
      <rPr>
        <sz val="9"/>
        <color rgb="FF000000"/>
        <rFont val="Calibri"/>
        <family val="2"/>
        <scheme val="minor"/>
      </rPr>
      <t xml:space="preserve"> teaching strategy that is appropriate in responding to learners’ linguistic, cultural, socioeconomic, or religious backgrounds as shown in the submitted learning material</t>
    </r>
  </si>
  <si>
    <t>Utilized a teaching strategy or strategies that partially respond to learners’ linguistic, cultural, socioeconomic, or religious backgrounds as shown in the submitted learning material</t>
  </si>
  <si>
    <t>Demonstrated Level 1 as shown in the TRFs
or No acceptable evidence was shown</t>
  </si>
  <si>
    <t>Planned and implemented developmentally sequenced teaching and learning process as shown in the Main MOV with a rating of 7</t>
  </si>
  <si>
    <t>Planned and implemented developmentally sequenced teaching and learning process as shown in the Main MOV with a rating of 6</t>
  </si>
  <si>
    <t>Planned and implemented developmentally sequenced teaching and learning process as shown in the Main MOV with a rating of 5</t>
  </si>
  <si>
    <t>Planned and implemented developmentally sequenced teaching and learning process as shown in the Main MOV with a rating of 4</t>
  </si>
  <si>
    <t xml:space="preserve">All of the learning outcomes set are aligned with the learning competencies as shown in the MOV submitted </t>
  </si>
  <si>
    <t>Majority of the learning outcomes set are aligned with the learning competencies as shown in the MOV submitted</t>
  </si>
  <si>
    <t>Half of the learning outcomes set are aligned with the learning competencies as shown in the MOV submitted</t>
  </si>
  <si>
    <t xml:space="preserve">Less than half of the learning outcomes set are aligned with the learning competencies as shown in the MOV submitted </t>
  </si>
  <si>
    <t>Adapted / implemented learning programs that are well-aligned with the learning goals and relevant and appropriate in responding to learning needs as shown in the submitted learning materials</t>
  </si>
  <si>
    <t>Adapted / implemented learning programs that are well-aligned with the learning goals and relevant or appropriate in responding to learning needs as shown in the submitted learning material</t>
  </si>
  <si>
    <t>Utilized a learning program that is well-aligned with the learning goals and relevant or appropriate in responding to learning needs as shown in the submitted learning material</t>
  </si>
  <si>
    <t>Utilized learning program/s that is/are partially aligned with the learning goal/s and only somehow respond to learning needs as shown in the submitted learning material</t>
  </si>
  <si>
    <t>Consistently participated in LAC sessions/FGDs/ meetings to discuss teacher/learner feedback to enrich instruction as shown in the MOV submitted</t>
  </si>
  <si>
    <t>Frequently participated in LAC sessions/FGDs/ meetings to discuss teacher/learner feedback to enrich instruction as shown in the MOV submitted</t>
  </si>
  <si>
    <t>Occasionally participated in LAC sessions/FGDs/ meetings to discuss teacher/learner feedback to enrich instruction as shown in the MOV submitted</t>
  </si>
  <si>
    <t>Rarely participated in LAC sessions/FGDs/ meetings to discuss teacher/learner feedback to enrich instruction as shown in the MOV submitted</t>
  </si>
  <si>
    <t>Participated in 4 LAC sessions/FGDs/ meetings on teacher/learner feedback as evidently shown in the MOV submitted</t>
  </si>
  <si>
    <t>Participated in 3 LAC sessions/FGDs/ meetings on teacher/learner feedback as evidently shown in the MOV submitted</t>
  </si>
  <si>
    <t>Participated in 2 LAC sessions/FGDs/ meetings on teacher/learner feedback as evidently shown in the MOV submitted</t>
  </si>
  <si>
    <t>Participated in 1 LAC sessions/FGD/ meeting on teacher/learner feedback as evidently  shown in the MOV submitted</t>
  </si>
  <si>
    <t>Designed, selected, organized and used diagnostic, formative and summative assessment strategies consistent with curriculum requirements as shown in the Main MOV with a rating of 7</t>
  </si>
  <si>
    <t>Designed, selected, organized and used diagnostic, formative and summative assessment strategies consistent with curriculum requirements as shown in the Main MOV with a rating of 6</t>
  </si>
  <si>
    <t>Designed, selected, organized and used diagnostic, formative and summative assessment strategies consistent with curriculum requirements as shown in the MOV with a rating of 5</t>
  </si>
  <si>
    <t>Designed, selected, organized and used diagnostic, formative and summative assessment strategies consistent with curriculum requirements as shown in the Main MOV with a rating of 4</t>
  </si>
  <si>
    <t>Submitted 1 Main MOV with 4 varied assessment strategies as shown in any Supporting MOV</t>
  </si>
  <si>
    <t>Submitted 1 Main MOV with 3 varied assessment strategies as shown in any Supporting MOV</t>
  </si>
  <si>
    <t>Submitted 1 Main MOV with 2 varied assessment strategies as shown in any Supporting MOV</t>
  </si>
  <si>
    <t>Submitted 1 Main MOV with 1 assessment strategy as shown in any Supporting MOV</t>
  </si>
  <si>
    <t>Consistently monitored and evaluated learner progress and achievement using learner attainment data as shown in the MOV submitted</t>
  </si>
  <si>
    <t>Frequently monitored and evaluated learner progress and achievement using learner attainment data as shown in the MOV submitted</t>
  </si>
  <si>
    <t>Occasionally monitored and evaluated learner progress and achievement using learner attainment data as shown in the MOV submitted</t>
  </si>
  <si>
    <t>Rarely monitored and evaluated learner progress and achievement using learner attainment data as shown in the MOV submitted</t>
  </si>
  <si>
    <t>Submitted 4 different kinds of acceptable MOV</t>
  </si>
  <si>
    <t>Submitted 3 different kinds of acceptable MOV</t>
  </si>
  <si>
    <t>Submitted 2 different kinds of acceptable MOV</t>
  </si>
  <si>
    <t>Submitted MOV were distributed across 4 quarters</t>
  </si>
  <si>
    <t>Submitted MOV were distributed across 3 quarters</t>
  </si>
  <si>
    <t>Submitted MOV were distributed across 2 quarters</t>
  </si>
  <si>
    <t>Submitted MOV was completed in only 1 quarter</t>
  </si>
  <si>
    <t>No acceptable Evidence was shown</t>
  </si>
  <si>
    <t>Provided learners with accurate and specific constructive feedback as shown in the evidence submitted</t>
  </si>
  <si>
    <t>Provided learners with accurate and general constructive feedback as shown in the evidence submitted</t>
  </si>
  <si>
    <t>Provided learners with accurate feedback as shown in the evidence submitted</t>
  </si>
  <si>
    <t xml:space="preserve">Provided learners with inaccurate and/or unconstructive feedback as shown in the evidence submitted </t>
  </si>
  <si>
    <t>Consistently showed prompt and clear communication of the learners’ needs, progress and achievement to key stakeholders, including parents/ guardians as shown in the MOV submitted</t>
  </si>
  <si>
    <t>Frequently showed prompt and clear communication of the learners’ needs, progress and achievement to key stakeholders, including parents/ guardians as shown in the MOV submitted</t>
  </si>
  <si>
    <t>Occasionally showed prompt and clear communication of the learners’ needs, progress and achievement to key stakeholders, including parents/ guardians as shown in the MOV submitted</t>
  </si>
  <si>
    <t>Rarely showed prompt  and clear communication of the learners’ needs, progress and achievement to key stakeholders, including parents/ guardians as shown in the MOV submitted</t>
  </si>
  <si>
    <t>Submitted any 1 of the acceptable MOV</t>
  </si>
  <si>
    <r>
      <t xml:space="preserve">Utilized assessment data to inform the modification of teaching and learning practices and programs in all the components of instruction in the lesson plan / script </t>
    </r>
    <r>
      <rPr>
        <sz val="9"/>
        <color rgb="FF000000"/>
        <rFont val="Calibri"/>
        <family val="2"/>
        <scheme val="minor"/>
      </rPr>
      <t>to improve student learning</t>
    </r>
  </si>
  <si>
    <r>
      <t xml:space="preserve">Utilized assessment data to inform the modification of teaching and learning practices and programs </t>
    </r>
    <r>
      <rPr>
        <sz val="9"/>
        <color rgb="FF000000"/>
        <rFont val="Calibri"/>
        <family val="2"/>
        <scheme val="minor"/>
      </rPr>
      <t xml:space="preserve">in two components of instruction in the lesson plan </t>
    </r>
    <r>
      <rPr>
        <sz val="9"/>
        <color theme="1"/>
        <rFont val="Calibri"/>
        <family val="2"/>
        <scheme val="minor"/>
      </rPr>
      <t xml:space="preserve">/ script </t>
    </r>
    <r>
      <rPr>
        <sz val="9"/>
        <color rgb="FF000000"/>
        <rFont val="Calibri"/>
        <family val="2"/>
        <scheme val="minor"/>
      </rPr>
      <t>to improve student learning</t>
    </r>
  </si>
  <si>
    <r>
      <t xml:space="preserve">Utilized assessment data to inform the modification of teaching and learning practices and programs </t>
    </r>
    <r>
      <rPr>
        <sz val="9"/>
        <color rgb="FF000000"/>
        <rFont val="Calibri"/>
        <family val="2"/>
        <scheme val="minor"/>
      </rPr>
      <t xml:space="preserve">in one component of instruction in the lesson plan </t>
    </r>
    <r>
      <rPr>
        <sz val="9"/>
        <color theme="1"/>
        <rFont val="Calibri"/>
        <family val="2"/>
        <scheme val="minor"/>
      </rPr>
      <t xml:space="preserve">/ script </t>
    </r>
    <r>
      <rPr>
        <sz val="9"/>
        <color rgb="FF000000"/>
        <rFont val="Calibri"/>
        <family val="2"/>
        <scheme val="minor"/>
      </rPr>
      <t>to improve student learning</t>
    </r>
  </si>
  <si>
    <t>Utilized assessment data to inform the modification of teaching and learning practices and programs is identified but was poorly used as basis for planning / designing the lesson / script</t>
  </si>
  <si>
    <r>
      <t xml:space="preserve">Provided </t>
    </r>
    <r>
      <rPr>
        <sz val="9"/>
        <color theme="1"/>
        <rFont val="Calibri"/>
        <family val="2"/>
        <scheme val="minor"/>
      </rPr>
      <t xml:space="preserve">effective learning opportunities that are well-aligned with </t>
    </r>
    <r>
      <rPr>
        <sz val="9"/>
        <color rgb="FF000000"/>
        <rFont val="Calibri"/>
        <family val="2"/>
        <scheme val="minor"/>
      </rPr>
      <t>the learning goals and appropriate in responding beyond community contexts as shown in the submitted learning materials</t>
    </r>
  </si>
  <si>
    <r>
      <t xml:space="preserve">Provided </t>
    </r>
    <r>
      <rPr>
        <sz val="9"/>
        <color theme="1"/>
        <rFont val="Calibri"/>
        <family val="2"/>
        <scheme val="minor"/>
      </rPr>
      <t xml:space="preserve">effective learning opportunities that are well-aligned with </t>
    </r>
    <r>
      <rPr>
        <sz val="9"/>
        <color rgb="FF000000"/>
        <rFont val="Calibri"/>
        <family val="2"/>
        <scheme val="minor"/>
      </rPr>
      <t>the learning goals and appropriate in responding to community contexts as shown in the submitted learning materials</t>
    </r>
  </si>
  <si>
    <t>Provided an effective learning opportunity that is well-aligned with the learning goal/s and appropriate in responding to community contexts as shown in the submitted learning materials</t>
  </si>
  <si>
    <t>Provided learning opportunity/ies that is/are partially aligned with the learning goal/s and only somehow appropriate in responding to community contexts as shown in the submitted learning materials</t>
  </si>
  <si>
    <t>Sustained engagement with parents/ guardians and/or wider school community to facilitate involvement in the educative process as evidenced by the submitted MOV</t>
  </si>
  <si>
    <t xml:space="preserve"> </t>
  </si>
  <si>
    <r>
      <t xml:space="preserve">Exhibited an improved practice through one’s teaching as impact </t>
    </r>
    <r>
      <rPr>
        <sz val="9"/>
        <color theme="1"/>
        <rFont val="Calibri"/>
        <family val="2"/>
        <scheme val="minor"/>
      </rPr>
      <t>of regularly reviewing one’s teaching practice/s using laws and regulations that apply to the profession and the responsibilities in the Code of Ethics for Professional Teachers as evidenced by MOV No. 1</t>
    </r>
  </si>
  <si>
    <r>
      <t xml:space="preserve">Exhibited an improved practice through a teaching material as impact </t>
    </r>
    <r>
      <rPr>
        <sz val="9"/>
        <color theme="1"/>
        <rFont val="Calibri"/>
        <family val="2"/>
        <scheme val="minor"/>
      </rPr>
      <t>of regularly reviewing one’s teaching practice/s using laws and regulations that apply to the profession and the responsibilities in the Code of Ethics for Professional Teachers as evidenced by MOV No. 2</t>
    </r>
  </si>
  <si>
    <r>
      <t xml:space="preserve">Reviewed personal teaching practices </t>
    </r>
    <r>
      <rPr>
        <sz val="9"/>
        <color theme="1"/>
        <rFont val="Calibri"/>
        <family val="2"/>
        <scheme val="minor"/>
      </rPr>
      <t>using laws and regulations that apply to the profession and the responsibilities in the Code of Ethics for Professional Teachers in 4 quarters with reflection outputs as evidenced by MOV No. 3</t>
    </r>
  </si>
  <si>
    <r>
      <t xml:space="preserve">Participated in the review of </t>
    </r>
    <r>
      <rPr>
        <sz val="9"/>
        <color rgb="FF000000"/>
        <rFont val="Calibri"/>
        <family val="2"/>
        <scheme val="minor"/>
      </rPr>
      <t xml:space="preserve">personal teaching practices </t>
    </r>
    <r>
      <rPr>
        <sz val="9"/>
        <color theme="1"/>
        <rFont val="Calibri"/>
        <family val="2"/>
        <scheme val="minor"/>
      </rPr>
      <t>using laws and regulations that apply to the profession and the responsibilities in the Code of Ethics for Professional Teachers in 4 quarters as evidenced by MOV No. 4</t>
    </r>
  </si>
  <si>
    <t>Engaged with stakeholders regarding DepEd / school policies and procedures through school-community partnership/s as evidenced by MOV no. 1</t>
  </si>
  <si>
    <t>Discussed with stakeholders the implemented DepEd / school policies and procedures as evidenced by MOV no. 2</t>
  </si>
  <si>
    <t>Communicated with stakeholders the implemented DepEd / school policies and procedures as evidenced by MOV no. 3</t>
  </si>
  <si>
    <t xml:space="preserve">Implemented DepEd / school policies and procedures without communicating and consulting the stakeholders </t>
  </si>
  <si>
    <r>
      <t xml:space="preserve">Applied learner-centered teaching philosophy in the lesson plan in all the components of instruction in the lesson plan </t>
    </r>
    <r>
      <rPr>
        <sz val="9"/>
        <color rgb="FF000000"/>
        <rFont val="Calibri"/>
        <family val="2"/>
        <scheme val="minor"/>
      </rPr>
      <t>/ script</t>
    </r>
  </si>
  <si>
    <r>
      <t xml:space="preserve">Applied learner-centered teaching philosophy in the lesson plan in two components of instruction in the lesson plan </t>
    </r>
    <r>
      <rPr>
        <sz val="9"/>
        <color rgb="FF000000"/>
        <rFont val="Calibri"/>
        <family val="2"/>
        <scheme val="minor"/>
      </rPr>
      <t>/ script</t>
    </r>
  </si>
  <si>
    <r>
      <t xml:space="preserve">Applied learner-centered teaching philosophy in the lesson plan in one component of instruction in the lesson plan </t>
    </r>
    <r>
      <rPr>
        <sz val="9"/>
        <color rgb="FF000000"/>
        <rFont val="Calibri"/>
        <family val="2"/>
        <scheme val="minor"/>
      </rPr>
      <t>/ script</t>
    </r>
  </si>
  <si>
    <t>Application of learner-centered teaching philosophy is reflected but was poorly used as basis for planning / designing the lesson / script</t>
  </si>
  <si>
    <r>
      <t xml:space="preserve">Participated in any professional network/activity that requires output and </t>
    </r>
    <r>
      <rPr>
        <sz val="9"/>
        <color rgb="FF000000"/>
        <rFont val="Calibri"/>
        <family val="2"/>
        <scheme val="minor"/>
      </rPr>
      <t xml:space="preserve">proof of implementation within or beyond the division/region </t>
    </r>
    <r>
      <rPr>
        <sz val="9"/>
        <color theme="1"/>
        <rFont val="Calibri"/>
        <family val="2"/>
        <scheme val="minor"/>
      </rPr>
      <t>to share knowledge and to enhance practice as evidenced by the submitted MOV</t>
    </r>
  </si>
  <si>
    <t>Updated the Development Plan and approved by the rater during Phase II of the RPMS cycle</t>
  </si>
  <si>
    <t xml:space="preserve">Discussed progress on the Development Plan with the rater to check whether Development Needs were addressed </t>
  </si>
  <si>
    <t>Accomplished the Development Plan from learning objectives up to resources needed to address Development Needs during Phase I of the RPMS cycle</t>
  </si>
  <si>
    <t>Accomplished the Strengths and Development Needs portion of the Development Plan after self-assessment at the beginning of the school year</t>
  </si>
  <si>
    <t>Submitted the IPCRF-DP with any 4 of the acceptable Supporting MOV</t>
  </si>
  <si>
    <t>Submitted the IPCRF-DP with any 3 of the acceptable Supporting MOV</t>
  </si>
  <si>
    <t>Submitted the IPCRF-DP with any 2 of the acceptable Supporting MOV</t>
  </si>
  <si>
    <r>
      <t>Submitted the IPCRF-DP with any 1 of the acceptable Supporting MO</t>
    </r>
    <r>
      <rPr>
        <sz val="9"/>
        <color rgb="FF000000"/>
        <rFont val="Calibri"/>
        <family val="2"/>
        <scheme val="minor"/>
      </rPr>
      <t>V</t>
    </r>
  </si>
  <si>
    <t>Updated professional development goals during Phase II of the RPMS Cycle as evidenced by MOV No. 1</t>
  </si>
  <si>
    <t>Discussed progress on professional development goals with the rater during the mid-year review as evidenced by MOV No. 2</t>
  </si>
  <si>
    <t>Set professional development goals based on e-SAT results as evidenced by MOV No. 3</t>
  </si>
  <si>
    <t>Accomplished the e-SAT at the beginning of the school year as evidenced by MOV No. 4</t>
  </si>
  <si>
    <t xml:space="preserve">No acceptable evidence </t>
  </si>
  <si>
    <t>Performed at least 1 related work/activity that contributed to the teaching-learning process beyond the school/ Community Learning Center (CLC) as evidenced by submitted MOV</t>
  </si>
  <si>
    <t>Performed at least 1 related work/activity that contributed to the teaching-learning process within the school/ Community Learning Center (CLC) as evidenced by submitted MOV</t>
  </si>
  <si>
    <t>Performed at least 1 related work/activity that contributed to the teaching-learning process within the learning area/ department as evidenced by submitted MOV</t>
  </si>
  <si>
    <t>Performed at least 1 related work/activity that contributed to the teaching-learning process within the class as evidenced by submitted MOV</t>
  </si>
  <si>
    <t>Submitted any 3 of the acceptable MOV</t>
  </si>
  <si>
    <t>Submitted any 2 of the acceptable MOV</t>
  </si>
  <si>
    <r>
      <t xml:space="preserve">Performed at least 1 related work / activity that contributed to the teaching-learning process </t>
    </r>
    <r>
      <rPr>
        <sz val="9"/>
        <color rgb="FF000000"/>
        <rFont val="Calibri"/>
        <family val="2"/>
        <scheme val="minor"/>
      </rPr>
      <t>beyond the school / Community Learning Center (CLC) as evidenced by submitted MOV</t>
    </r>
  </si>
  <si>
    <r>
      <t xml:space="preserve">Performed at least 1 related work / activity that contributed to the teaching-learning process </t>
    </r>
    <r>
      <rPr>
        <sz val="9"/>
        <color rgb="FF000000"/>
        <rFont val="Calibri"/>
        <family val="2"/>
        <scheme val="minor"/>
      </rPr>
      <t>within the school / Community Learning Center (CLC) as evidenced by submitted MOV</t>
    </r>
  </si>
  <si>
    <r>
      <t xml:space="preserve">Performed at least 1 related work / activity that contributed to the teaching-learning process </t>
    </r>
    <r>
      <rPr>
        <sz val="9"/>
        <color rgb="FF000000"/>
        <rFont val="Calibri"/>
        <family val="2"/>
        <scheme val="minor"/>
      </rPr>
      <t>within the learning area / department as evidenced by submitted MOV</t>
    </r>
  </si>
  <si>
    <r>
      <t xml:space="preserve">Performed at least 1 related work / activity that contributed to the teaching-learning process </t>
    </r>
    <r>
      <rPr>
        <sz val="9"/>
        <color rgb="FF000000"/>
        <rFont val="Calibri"/>
        <family val="2"/>
        <scheme val="minor"/>
      </rPr>
      <t>within the class as evidenced by submitted MOV</t>
    </r>
  </si>
  <si>
    <t>Modelled effective strategies in utilizing ICT that redefine and transform learning experiences and are documented properly and consistently using any referencing style as shown in the submitted learning material</t>
  </si>
  <si>
    <t>Modelled effective strategies in utilizing ICT that augment and enrich learning experiences are documented properly and consistently using any referencing style as shown in the submitted learning material</t>
  </si>
  <si>
    <t>Modelled effective strategies in utilizing ICT that modify processes and improve learning experiences and are documented properly and consistently using any referencing style as shown in the submitted learning material</t>
  </si>
  <si>
    <t>Modelled and evaluated with colleagues effective strategies that reflect adjustments or modifications in teaching practices to enhance critical literacy and/or critical numeracy skills as shown in the submitted learning material</t>
  </si>
  <si>
    <t>Modelled and evaluated with colleagues effective strategies that reflect integration of well-connected teaching practices that promote critical literacy and/or critical numeracy skills as shown in the submitted learning material</t>
  </si>
  <si>
    <t>Modelled and evaluated with colleagues effective strategies that reflect consistent application of relevant teaching practices that promote critical literacy and/or critical numeracy skills in all aspects of the lesson as shown in the submitted learning material</t>
  </si>
  <si>
    <t>Modelled and evaluated with colleagues effective strategy/ies that reflect/s application of relevant teaching practices that promote critical literacy and/or critical numeracy skills in some aspects of the lesson as shown in the submitted learning material</t>
  </si>
  <si>
    <r>
      <t xml:space="preserve">Modelled effective teaching strategies </t>
    </r>
    <r>
      <rPr>
        <sz val="9"/>
        <color rgb="FF000000"/>
        <rFont val="Calibri"/>
        <family val="2"/>
        <scheme val="minor"/>
      </rPr>
      <t>that challenge learners to draw conclusions and justify their thinking or put parts together to promote deeper understanding of ideas learned as shown in the in the submitted learning material</t>
    </r>
  </si>
  <si>
    <r>
      <t xml:space="preserve">Modelled effective teaching strategies </t>
    </r>
    <r>
      <rPr>
        <sz val="9"/>
        <color rgb="FF000000"/>
        <rFont val="Calibri"/>
        <family val="2"/>
        <scheme val="minor"/>
      </rPr>
      <t>that require learners to make connections using ideas learned as shown in the in the submitted learning material</t>
    </r>
  </si>
  <si>
    <r>
      <t xml:space="preserve">Modelled effective teaching strategies </t>
    </r>
    <r>
      <rPr>
        <sz val="9"/>
        <color rgb="FF000000"/>
        <rFont val="Calibri"/>
        <family val="2"/>
        <scheme val="minor"/>
      </rPr>
      <t>that require learners to describe and explain ideas learned as shown in the in the submitted learning material</t>
    </r>
  </si>
  <si>
    <r>
      <t xml:space="preserve">Modelled teaching strategies </t>
    </r>
    <r>
      <rPr>
        <sz val="9"/>
        <color rgb="FF000000"/>
        <rFont val="Calibri"/>
        <family val="2"/>
        <scheme val="minor"/>
      </rPr>
      <t>that lead learners along a single path of inquiry or to simple recall and rote memorization of concepts as shown in the in the submitted learning material</t>
    </r>
  </si>
  <si>
    <t>Modeled and shared effective classroom management strategies that engage learners in activities/ tasks done in different physical learning environments as shown in the Main MOV  with a rating of 8</t>
  </si>
  <si>
    <t>Modeled and shared effective classroom management strategies that engage learners in activities/ tasks done in different physical learning environments as shown in the Main MOV  with a rating of 7</t>
  </si>
  <si>
    <t>Modeled and shared effective classroom management strategies that engage learners in activities/ tasks done in different physical learning environments as shown in the Main MOV  with a rating of 6</t>
  </si>
  <si>
    <t>Modeled and shared effective classroom management strategies that engage learners in activities/ tasks done in different physical learning environments as shown in the Main MOV  with a rating of 5</t>
  </si>
  <si>
    <t>Submitted 4 Main   MOV, each with any 1 of  the Supporting MOV</t>
  </si>
  <si>
    <t>Submitted 3 Main   MOV, each with any 1 of  the Supporting MOV</t>
  </si>
  <si>
    <t>Submitted  1 Main MOV with any 1 of the Supporting MOV</t>
  </si>
  <si>
    <t>Modelled varying strategies that sustain a supportive learning environment for learners to recognize each other’s learning strengths and value the contribution of others as shown in the submitted learning material</t>
  </si>
  <si>
    <t>Modelled effective strategies that promote a supportive learning environment and encourage learners to participate, cooperate, and/or collaborate in continued learning as shown in the submitted learning materials</t>
  </si>
  <si>
    <t>Modelled an effective strategy that promote a supportive learning environment and encourage learners to participate, cooperate, and/or collaborate in their own learning as shown in the submitted learning materials</t>
  </si>
  <si>
    <t>Exhibited effective and constructive behavior management skills   by applying positive and non-violent discipline to ensure learning- focused environments shown in the MOV with a rating of 8</t>
  </si>
  <si>
    <t>Exhibited effective and constructive behavior management skills   by applying positive and non-violent discipline to ensure learning- focused environments shown in the MOV with a rating of 7</t>
  </si>
  <si>
    <t>Exhibited effective and constructive behavior management skills  by applying positive and non-violent discipline to ensure learning- focused environments shown in the MOV with a rating of 6</t>
  </si>
  <si>
    <t>Exhibited effective and constructive behavior management skills   by applying positive and non-violent discipline to ensure learning- focused environments shown in the MOV with a rating of 5</t>
  </si>
  <si>
    <t>Submitted 4 COT rating sheets/inter- observer agreement forms, each with 7 strategies as noted in the comment section</t>
  </si>
  <si>
    <t>Submitted 3 COT rating sheets/inter- observer agreement forms, each with 7 strategies as noted in the comment section</t>
  </si>
  <si>
    <t>Submitted 2 COT rating sheets/inter- observer agreement forms, each with 7 strategies as noted in the comment section</t>
  </si>
  <si>
    <t>Worked with colleagues at least in the district/cluster level to share differentiated, developmentally appropriate opportunities to address learners’ differences</t>
  </si>
  <si>
    <t>Worked with colleagues  in the school level to share differentiated, developmentally appropriate opportunities to address learners’ differences</t>
  </si>
  <si>
    <t>Worked with colleagues  in the department or grade level to share differentiated, developmentally appropriate opportunities to address learners’ differences</t>
  </si>
  <si>
    <t>Worked with colleagues but no evidence of sharing differentiated, developmentally appropriate opportunities to address learners’ differences with others</t>
  </si>
  <si>
    <t>Submitted 2 Main   MOV, each with any 1 of  the Supporting MOV</t>
  </si>
  <si>
    <t>Modelled the use of effective teaching strategies that are appropriate in responding to learners’ linguistic, cultural, socioeconomic, or religious backgrounds at an individual level* as shown in the in the submitted learning material</t>
  </si>
  <si>
    <t>Modelled the use of effective teaching strategies that are appropriate in responding to learners’ linguistic, cultural, socioeconomic, or religious backgrounds at a group level* as shown in the in the submitted learning material</t>
  </si>
  <si>
    <t>Modelled the use of an effective teaching strategy that is appropriate in responding to learners’ linguistic, cultural, socioeconomic, or religious backgrounds as shown in the in the submitted learning material</t>
  </si>
  <si>
    <t>Modelled the use of a teaching strategy or strategies that partially respond to learners’ linguistic, cultural, socioeconomic, or religious backgrounds as shown in the in the submitted learning material</t>
  </si>
  <si>
    <t>Developed and applied effective strategies showing developmentally sequenced teaching and learning process as shown in the Main MOV  with a rating of 8</t>
  </si>
  <si>
    <t>Developed and applied effective strategies showing developmentally sequenced teaching and learning process as shown in the Main MOV  with a rating of 7</t>
  </si>
  <si>
    <t>Developed and applied effective strategies showing developmentally sequenced teaching and learning process as shown in the Main MOV  with a rating of 6</t>
  </si>
  <si>
    <t>Developed and applied effective strategies showing developmentally sequenced teaching and learning process as shown in the Main MOV  with a rating of 5</t>
  </si>
  <si>
    <t>Submitted  3 Main   MOV, each with any 1 of  the Supporting MOV</t>
  </si>
  <si>
    <t>All of the learning outcomes set are aligned with the learning competencies as shown in the MOV submitted</t>
  </si>
  <si>
    <t xml:space="preserve">Majority of the learning outcomes set are aligned with the learning competencies as shown in the MOV submitted </t>
  </si>
  <si>
    <t>Less than half of the learning outcomes set are aligned with the learning competencies as shown in the MOV submitted</t>
  </si>
  <si>
    <t>Collaborated with colleagues in redesigning learning programs as shown in the submitted learning material</t>
  </si>
  <si>
    <t>Discussed with colleagues detailed recommendations on improving the design of learning programs as shown in the submitted learning material</t>
  </si>
  <si>
    <t>Worked with colleagues in evaluating the design of learning programs that develop the knowledge and skills of learners at different ability levels as shown in the submitted learning material</t>
  </si>
  <si>
    <t>Evaluated the design of learning programs that develop the knowledge and skills of learners at different ability levelswithout the help of colleagues as shown in the submitted learning material</t>
  </si>
  <si>
    <t>Consistently led collaborative reviews of teacher and learner feedback as evidenced by the MOV submitted</t>
  </si>
  <si>
    <t>Frequently led collaborative reviews of teacher and learner feedback as evidenced by the MOV submitted</t>
  </si>
  <si>
    <t>Occasionally led collaborative reviews of teacher and learner feedback as evidenced by the MOV submitted</t>
  </si>
  <si>
    <t>Rarely led collaborative reviews of teacher and learner feedback as evidenced by the MOV submitted</t>
  </si>
  <si>
    <t>Consistently reviewed collaboratively assessment tools with colleagues as shown in the MOV submitted</t>
  </si>
  <si>
    <t>Frequently reviewed collaboratively assessment tools with colleagues as shown in the MOV submitted</t>
  </si>
  <si>
    <t>Occasionally reviewed collaboratively assessment tools with colleagues as shown in the MOV submitted</t>
  </si>
  <si>
    <t>Rarely reviewed collaboratively assessment tools with colleagues as shown in the MOV submitted</t>
  </si>
  <si>
    <t>Submitted 4 assessment tools as evidently shown in any of the acceptable MOV</t>
  </si>
  <si>
    <t>Submitted 3 assessment tools  as evidently shown in any of the acceptable MOV</t>
  </si>
  <si>
    <t>Submitted 2 assessment tools as evidently shown in any of the acceptable MOV</t>
  </si>
  <si>
    <t>Submitted 1 assessment tool as evidently shown in any of the acceptable MOV</t>
  </si>
  <si>
    <t>Consistently collaborated with colleagues in the interpretation of assessment data as shown in the MOV submitted</t>
  </si>
  <si>
    <t>Frequently collaborated with colleagues in the interpretation of assessment data as shown in the MOV submitted</t>
  </si>
  <si>
    <t>Occasionally collaborated with colleagues in the interpretation of assessment data as shown in the MOV submitted</t>
  </si>
  <si>
    <t>Rarely collaborated with colleagues in the interpretation of assessment data as shown in the MOV submitted</t>
  </si>
  <si>
    <t>Submitted 2 different types of MOV</t>
  </si>
  <si>
    <t>Submitted 3 of the same kind of MOV</t>
  </si>
  <si>
    <t>Submitted 2 of the same kind of MOV</t>
  </si>
  <si>
    <t>Submitted any 1 of the MOV</t>
  </si>
  <si>
    <t>Consistently applied skills in the effective communication of learner needs and progress to parents/ guardians as shown in the MOV submitted</t>
  </si>
  <si>
    <t>Frequently applied skills in the effective communication of learner needs and progress to parents/ guardians as shown in the MOV submitted</t>
  </si>
  <si>
    <t>Occasionally applied skills in the effective communication of learner needs and progress to parents/ guardians as shown in the MOV submitted</t>
  </si>
  <si>
    <t>Rarely applied skills in the effective communication of learner needs and progress to parents/ guardians as shown in the MOV submitted</t>
  </si>
  <si>
    <t>Submitted 4 of the acceptable MOV</t>
  </si>
  <si>
    <t>Submitted 3 of the acceptable MOV</t>
  </si>
  <si>
    <t>Submitted 2 of the acceptable MOV</t>
  </si>
  <si>
    <t>Submitted 1 of the acceptable MOV</t>
  </si>
  <si>
    <t>Evaluated activities with colleagues by looking for key success indicators (p. 14, DO 35, s. 2016) as shown in the submitted learning material</t>
  </si>
  <si>
    <t>Implemented activities with colleagues to address the use of assessment data to modify practices and/or programs as shown in the submitted learning material</t>
  </si>
  <si>
    <t>Explored interventions with colleagues to address utilization of assessment data which could be in the form of learning materials, instructional materials, equipment, strategies in teaching, modality in teaching, program, etc. (p. 9, DO 35, s. 2016) as shown in the submitted learning material</t>
  </si>
  <si>
    <t>Planned activities with colleagues to address the use of assessment data to modify practices and/or programs as shown in the submitted learning material</t>
  </si>
  <si>
    <t>Adapted modified programs, projects, and/or activities based on the discussed reflection and evaluation with colleagues to respond beyond community contexts as shown in the submitted learning materials</t>
  </si>
  <si>
    <t>Discussed with colleagues programs, projects, and/or activities that maintain the learning environments responsive to community context to reflect on and evaluate them as shown in the submitted learning materials</t>
  </si>
  <si>
    <t>Reflected on and evaluated programs, projects, and/or activities that are responsive to community contexts as shown in the submitted learning materials</t>
  </si>
  <si>
    <t>Implemented programs, projects, and/or activities that are responsive to community contexts as shown in the submitted learning materials</t>
  </si>
  <si>
    <t>Provided full support to colleagues from planning and developing up to improving content/materials for an activity involving the wider school community (e.g., SDO/RO/CO) as evidenced by MOV No. 1</t>
  </si>
  <si>
    <t>Conducted meetings with colleagues to improve content/materials for an activity involving the wider school community (e.g., SDO/RO/CO) as evidenced by MOV No. 2</t>
  </si>
  <si>
    <t>Conducted meetings with colleagues to plan and develop content/materials for an activity involving the wider school community (e.g., SDO/RO/CO) as evidenced by MOV No. 3</t>
  </si>
  <si>
    <t>Wrote a communication letter requesting collaboration with colleagues to plan/develop materials for an activity involving the wider school community (e.g., SDO/RO/CO) as evidenced by MOV No. 4</t>
  </si>
  <si>
    <t>Evaluated with teachers the implementation of certain DepEd / school policies and procedures as evidenced by MOV No. 1</t>
  </si>
  <si>
    <t>Conducted discussions with teachers on the progress of implementation of certain DepEd / school policies and procedures as evidenced by MOV No. 2</t>
  </si>
  <si>
    <t>Discussed with teachers certain DepEd / school policies and procedures for uniform implementation as evidenced by MOV No. 3</t>
  </si>
  <si>
    <t>Implemented DepEd / school policies and procedures as evidenced by MOV No. 4</t>
  </si>
  <si>
    <t>Evaluated lesson plans of colleagues to enhance their own learner-centered teaching practice as evidenced by MOV No. 1</t>
  </si>
  <si>
    <t>Implemented plan for an activity to support colleagues in enhancing their own learner-centered teaching practice as evidenced by MOV No. 2</t>
  </si>
  <si>
    <t>Planned for an activity to support colleagues in enhancing their own learner-centered teaching practice as evidenced by MOV No. 3</t>
  </si>
  <si>
    <t>Demonstrated a learner-centered teaching philosophy in one aspect of practice (i.e., lesson planning) as evidenced by MOV No. 4</t>
  </si>
  <si>
    <t>Contributed actively to any professional network/activity that requires output and proof of implementation within or beyond the division/region to share knowledge and to enhance practice as evidenced by the submitted MOV</t>
  </si>
  <si>
    <t>Evaluated activities involving colleague/s in professional reflection and learning opportunities as shown in the MOV submitted</t>
  </si>
  <si>
    <t>Conducted activities involving colleague/s in professional reflection and learning opportunities as shown in the MOV submitted</t>
  </si>
  <si>
    <t>Planned activities involving colleague/s in professional reflection and learning opportunities as shown in the MOV submitted</t>
  </si>
  <si>
    <t>Synthesized IPCRF-DP of colleague/s as basis to provide learning opportunities as shown in the MOV submitted</t>
  </si>
  <si>
    <t>Submitted the IPCRF-DP synthesis with any 4 of the acceptable Supporting MOV</t>
  </si>
  <si>
    <t>Submitted the IPCRF-DP synthesis with any 3 of the acceptable Supporting MOV</t>
  </si>
  <si>
    <t>Submitted the IPCRF-DP synthesis with any 2 of the acceptable Supporting MOV</t>
  </si>
  <si>
    <t>Submitted the IPCRF-DP synthesis with any 1 of the acceptable Supporting MOV</t>
  </si>
  <si>
    <t>Conducted mid-year review with colleagues as evidenced by MOV No. 2 or 3</t>
  </si>
  <si>
    <t>Planned for professional development based on e-SAT results as evidenced by MOV No. 4</t>
  </si>
  <si>
    <t>Accomplished the e-SAT at the beginning of the school year as evidenced by MOV No. 5</t>
  </si>
  <si>
    <t>Performed at least 1 related work / activity that contributed to the teaching-learning process beyond the school / Community Learning Center (CLC) as evidenced by submitted MOV</t>
  </si>
  <si>
    <t>Performed at least 1 related work / activity that contributed to the teaching-learning process within the school / Community Learning Center (CLC) as evidenced by submitted MOV</t>
  </si>
  <si>
    <t>Performed at least 1 related work / activity that contributed to the teaching-learning process within the learning area / department as evidenced by submitted MOV</t>
  </si>
  <si>
    <t>Performed at least 1 related work / activity that contributed to the teaching-learning process within the class as evidenced by submitted MOV</t>
  </si>
  <si>
    <t>District I - A</t>
  </si>
  <si>
    <t>ANTIPOLO NATIONAL HIGH SCHOOL</t>
  </si>
  <si>
    <t>GOLLA</t>
  </si>
  <si>
    <t>ROWENA</t>
  </si>
  <si>
    <t>SERRANILLO</t>
  </si>
  <si>
    <t>rowena.golla@deped.gov.ph</t>
  </si>
  <si>
    <t>062009</t>
  </si>
  <si>
    <t>MUYANA</t>
  </si>
  <si>
    <t>FRANCISCO</t>
  </si>
  <si>
    <t>PAGADAL</t>
  </si>
  <si>
    <t>francisco.muyana001@deped.gov.ph</t>
  </si>
  <si>
    <t>Applying  learning  from attending different webinars through face to face and virtual. Reading article or news that updated in our new educational system.</t>
  </si>
  <si>
    <t>Application of new ideas in teaching strategies, teaching techniques or modalities gathered from webinars. Asked the help of the Teacher's Aid Provider (TAP) like Master Teachers.</t>
  </si>
  <si>
    <t>Year round</t>
  </si>
  <si>
    <t>Learning and Development Team /Supervisor/ School Head/ Department Head/ Master Teacher. Face to face INSET given by the school.</t>
  </si>
  <si>
    <t>Group them according to their skills, talents, hobby that they like to do. So that  it easy for them to make a Performance Task.</t>
  </si>
  <si>
    <t>Modules. Learning Materials, Learning Activity Sheets, Learning Resource Materials, video lessons in Youtube Channel.</t>
  </si>
  <si>
    <t>Know the individual multiple intelligences of the students.</t>
  </si>
  <si>
    <t>Attending some seminars that are related in Guidance and Counseling or in a Human Behavior. Ask the help of Guidance Counselor if I will encounter different student's behavior in my class.</t>
  </si>
  <si>
    <t xml:space="preserve">Application of new ideas and methodologies in handling students with different behavior.Let him to express his feelings or emotions through his drawing. </t>
  </si>
  <si>
    <t>Guindance Councelor, Psychologist Person</t>
  </si>
  <si>
    <t>Use some computer games in the lesson, mentimeter, quizzis, google classroom.</t>
  </si>
  <si>
    <t>Indicate the computer application in preparing Lesson Plan.</t>
  </si>
  <si>
    <t>ICT Coordinator</t>
  </si>
  <si>
    <t>SISON</t>
  </si>
  <si>
    <t>B</t>
  </si>
  <si>
    <t>rowena.sison@deped.gov.ph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</si>
</sst>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F800]dddd\,\ mmmm\ dd\,\ yyyy"/>
    <numFmt numFmtId="167" formatCode="[$-409]mmmm\ d\,\ yyyy;@"/>
    <numFmt numFmtId="168" formatCode="0.00000"/>
  </numFmts>
  <fonts count="92" x14ac:knownFonts="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rgb="FFFF0000"/>
      <name val="Calibri"/>
      <family val="2"/>
      <scheme val="minor"/>
    </font>
    <font>
      <sz val="9"/>
      <color theme="1"/>
      <name val="Calibri"/>
      <family val="2"/>
      <scheme val="minor"/>
    </font>
    <font>
      <sz val="11"/>
      <color rgb="FF000000"/>
      <name val="Arial"/>
      <family val="2"/>
    </font>
    <font>
      <sz val="9"/>
      <color rgb="FF000000"/>
      <name val="Calibri"/>
      <family val="2"/>
      <scheme val="minor"/>
    </font>
    <font>
      <sz val="9"/>
      <color rgb="FFFF0000"/>
      <name val="Calibri"/>
      <family val="2"/>
      <scheme val="minor"/>
    </font>
    <font>
      <sz val="11"/>
      <name val="Calibri"/>
      <family val="2"/>
      <scheme val="minor"/>
    </font>
    <font>
      <sz val="11"/>
      <color theme="1"/>
      <name val="Calibri"/>
      <family val="2"/>
      <scheme val="minor"/>
    </font>
    <font>
      <b/>
      <sz val="24"/>
      <color theme="1"/>
      <name val="Calibri"/>
      <family val="2"/>
      <scheme val="minor"/>
    </font>
    <font>
      <u/>
      <sz val="13"/>
      <color theme="1"/>
      <name val="Arial"/>
      <family val="2"/>
    </font>
    <font>
      <b/>
      <sz val="18"/>
      <color theme="1"/>
      <name val="Arial"/>
      <family val="2"/>
    </font>
    <font>
      <b/>
      <sz val="13"/>
      <color theme="1"/>
      <name val="Arial"/>
      <family val="2"/>
    </font>
    <font>
      <sz val="13"/>
      <color theme="1"/>
      <name val="Arial"/>
      <family val="2"/>
    </font>
    <font>
      <b/>
      <sz val="12"/>
      <color theme="1"/>
      <name val="Arial"/>
      <family val="2"/>
    </font>
    <font>
      <b/>
      <sz val="12"/>
      <color rgb="FF000000"/>
      <name val="Arial"/>
      <family val="2"/>
    </font>
    <font>
      <sz val="12"/>
      <color rgb="FF000000"/>
      <name val="Arial"/>
      <family val="2"/>
    </font>
    <font>
      <sz val="12"/>
      <color theme="1"/>
      <name val="Arial"/>
      <family val="2"/>
    </font>
    <font>
      <sz val="11"/>
      <color theme="1"/>
      <name val="Arial"/>
      <family val="2"/>
    </font>
    <font>
      <b/>
      <sz val="16"/>
      <color theme="1"/>
      <name val="Arial"/>
      <family val="2"/>
    </font>
    <font>
      <sz val="13"/>
      <color rgb="FF000000"/>
      <name val="Arial"/>
      <family val="2"/>
    </font>
    <font>
      <b/>
      <u/>
      <sz val="12"/>
      <color theme="1"/>
      <name val="Arial Narrow"/>
      <family val="2"/>
    </font>
    <font>
      <b/>
      <sz val="12"/>
      <color theme="1"/>
      <name val="Arial Narrow"/>
      <family val="2"/>
    </font>
    <font>
      <i/>
      <sz val="13"/>
      <color theme="1"/>
      <name val="Arial"/>
      <family val="2"/>
    </font>
    <font>
      <sz val="11"/>
      <color rgb="FF000000"/>
      <name val="Calibri"/>
      <family val="2"/>
      <scheme val="minor"/>
    </font>
    <font>
      <sz val="12"/>
      <color theme="1"/>
      <name val="Calibri"/>
      <family val="2"/>
      <scheme val="minor"/>
    </font>
    <font>
      <b/>
      <sz val="12"/>
      <color theme="1"/>
      <name val="Calibri"/>
      <family val="2"/>
      <scheme val="minor"/>
    </font>
    <font>
      <b/>
      <sz val="18"/>
      <color theme="1"/>
      <name val="Calibri"/>
      <family val="2"/>
      <scheme val="minor"/>
    </font>
    <font>
      <sz val="18"/>
      <color theme="1"/>
      <name val="Calibri"/>
      <family val="2"/>
      <scheme val="minor"/>
    </font>
    <font>
      <sz val="8"/>
      <name val="Calibri"/>
      <family val="2"/>
      <scheme val="minor"/>
    </font>
    <font>
      <sz val="10"/>
      <color theme="1"/>
      <name val="Arial"/>
      <family val="2"/>
    </font>
    <font>
      <sz val="14"/>
      <color theme="1"/>
      <name val="Calibri"/>
      <family val="2"/>
      <scheme val="minor"/>
    </font>
    <font>
      <sz val="9"/>
      <color theme="1"/>
      <name val="Arial"/>
      <family val="2"/>
    </font>
    <font>
      <sz val="7.5"/>
      <color theme="1"/>
      <name val="Arial"/>
      <family val="2"/>
    </font>
    <font>
      <sz val="11"/>
      <color theme="0"/>
      <name val="Calibri"/>
      <family val="2"/>
      <scheme val="minor"/>
    </font>
    <font>
      <b/>
      <sz val="11"/>
      <color theme="1"/>
      <name val="Arial"/>
      <family val="2"/>
    </font>
    <font>
      <b/>
      <sz val="14"/>
      <color theme="1"/>
      <name val="Arial Narrow"/>
      <family val="2"/>
    </font>
    <font>
      <sz val="11"/>
      <color theme="1"/>
      <name val="Arial Narrow"/>
      <family val="2"/>
    </font>
    <font>
      <b/>
      <sz val="11"/>
      <color theme="1"/>
      <name val="Arial Narrow"/>
      <family val="2"/>
    </font>
    <font>
      <sz val="10"/>
      <color theme="1"/>
      <name val="Arial Narrow"/>
      <family val="2"/>
    </font>
    <font>
      <b/>
      <sz val="10"/>
      <color rgb="FF000000"/>
      <name val="Arial Narrow"/>
      <family val="2"/>
    </font>
    <font>
      <sz val="10"/>
      <color rgb="FF000000"/>
      <name val="Arial Narrow"/>
      <family val="2"/>
    </font>
    <font>
      <sz val="8"/>
      <color rgb="FF000000"/>
      <name val="Arial Narrow"/>
      <family val="2"/>
    </font>
    <font>
      <b/>
      <i/>
      <sz val="10.5"/>
      <color theme="1"/>
      <name val="Arial Narrow"/>
      <family val="2"/>
    </font>
    <font>
      <i/>
      <sz val="11"/>
      <color theme="1"/>
      <name val="Calibri"/>
      <family val="2"/>
      <scheme val="minor"/>
    </font>
    <font>
      <b/>
      <sz val="9"/>
      <color rgb="FF000000"/>
      <name val="Arial Narrow"/>
      <family val="2"/>
    </font>
    <font>
      <b/>
      <sz val="20"/>
      <color theme="1"/>
      <name val="Arial Narrow"/>
      <family val="2"/>
    </font>
    <font>
      <sz val="9"/>
      <color rgb="FF000000"/>
      <name val="Arial Narrow"/>
      <family val="2"/>
    </font>
    <font>
      <b/>
      <sz val="15"/>
      <color theme="1"/>
      <name val="Arial"/>
      <family val="2"/>
    </font>
    <font>
      <i/>
      <sz val="11"/>
      <color theme="1"/>
      <name val="Arial"/>
      <family val="2"/>
    </font>
    <font>
      <b/>
      <sz val="14"/>
      <color rgb="FF000000"/>
      <name val="Calibri"/>
      <family val="2"/>
      <scheme val="minor"/>
    </font>
    <font>
      <b/>
      <sz val="12"/>
      <color rgb="FF000000"/>
      <name val="Calibri"/>
      <family val="2"/>
      <scheme val="minor"/>
    </font>
    <font>
      <sz val="12"/>
      <color theme="1"/>
      <name val="Calibri"/>
      <family val="2"/>
    </font>
    <font>
      <sz val="12"/>
      <color rgb="FF000000"/>
      <name val="Calibri"/>
      <family val="2"/>
      <scheme val="minor"/>
    </font>
    <font>
      <sz val="13"/>
      <color rgb="FFFF0000"/>
      <name val="Arial"/>
      <family val="2"/>
    </font>
    <font>
      <b/>
      <sz val="12"/>
      <color rgb="FFFF0000"/>
      <name val="Arial"/>
      <family val="2"/>
    </font>
    <font>
      <sz val="13"/>
      <name val="Arial"/>
      <family val="2"/>
    </font>
    <font>
      <i/>
      <sz val="12"/>
      <color rgb="FFC00000"/>
      <name val="Arial"/>
      <family val="2"/>
    </font>
    <font>
      <sz val="9"/>
      <color theme="1" tint="0.34998626667073579"/>
      <name val="Arial"/>
      <family val="2"/>
    </font>
    <font>
      <i/>
      <sz val="9"/>
      <color theme="1" tint="0.34998626667073579"/>
      <name val="Arial"/>
      <family val="2"/>
    </font>
    <font>
      <sz val="8"/>
      <color theme="1"/>
      <name val="Arial"/>
      <family val="2"/>
    </font>
    <font>
      <i/>
      <sz val="11"/>
      <color rgb="FFC00000"/>
      <name val="Arial"/>
      <family val="2"/>
    </font>
    <font>
      <b/>
      <i/>
      <sz val="11"/>
      <color rgb="FFC00000"/>
      <name val="Arial"/>
      <family val="2"/>
    </font>
    <font>
      <b/>
      <sz val="14"/>
      <color theme="1"/>
      <name val="Calibri"/>
      <family val="2"/>
      <scheme val="minor"/>
    </font>
    <font>
      <b/>
      <sz val="14"/>
      <color rgb="FFC00000"/>
      <name val="Calibri"/>
      <family val="2"/>
      <scheme val="minor"/>
    </font>
    <font>
      <b/>
      <sz val="22"/>
      <color theme="1"/>
      <name val="Calibri"/>
      <family val="2"/>
      <scheme val="minor"/>
    </font>
    <font>
      <sz val="10"/>
      <color theme="1"/>
      <name val="Calibri"/>
      <family val="2"/>
      <scheme val="minor"/>
    </font>
    <font>
      <b/>
      <i/>
      <sz val="10"/>
      <color theme="1"/>
      <name val="Calibri"/>
      <family val="2"/>
      <scheme val="minor"/>
    </font>
    <font>
      <sz val="12"/>
      <name val="Arial"/>
      <family val="2"/>
    </font>
    <font>
      <b/>
      <sz val="20"/>
      <color theme="1"/>
      <name val="Arial"/>
      <family val="2"/>
    </font>
    <font>
      <sz val="20"/>
      <color theme="1"/>
      <name val="Arial"/>
      <family val="2"/>
    </font>
    <font>
      <b/>
      <sz val="12"/>
      <color rgb="FFFF0000"/>
      <name val="Arial Narrow"/>
      <family val="2"/>
    </font>
    <font>
      <b/>
      <sz val="11"/>
      <color rgb="FFC00000"/>
      <name val="Calibri"/>
      <family val="2"/>
      <scheme val="minor"/>
    </font>
    <font>
      <u/>
      <sz val="11"/>
      <color theme="10"/>
      <name val="Calibri"/>
      <family val="2"/>
      <scheme val="minor"/>
    </font>
    <font>
      <b/>
      <u/>
      <sz val="20"/>
      <color theme="10"/>
      <name val="Calibri"/>
      <family val="2"/>
      <scheme val="minor"/>
    </font>
    <font>
      <b/>
      <sz val="20"/>
      <color theme="1"/>
      <name val="Calibri"/>
      <family val="2"/>
      <scheme val="minor"/>
    </font>
    <font>
      <b/>
      <sz val="8"/>
      <color theme="1"/>
      <name val="Arial"/>
      <family val="2"/>
    </font>
    <font>
      <b/>
      <sz val="12"/>
      <color rgb="FFC00000"/>
      <name val="Calibri"/>
      <family val="2"/>
      <scheme val="minor"/>
    </font>
    <font>
      <b/>
      <sz val="14"/>
      <color rgb="FFC00000"/>
      <name val="Arial"/>
      <family val="2"/>
    </font>
    <font>
      <sz val="16"/>
      <color theme="1"/>
      <name val="Arial"/>
      <family val="2"/>
    </font>
    <font>
      <b/>
      <sz val="14"/>
      <color rgb="FF000000"/>
      <name val="Calibri"/>
      <family val="2"/>
    </font>
    <font>
      <sz val="14"/>
      <color rgb="FF000000"/>
      <name val="Calibri"/>
      <family val="2"/>
    </font>
    <font>
      <sz val="8"/>
      <color rgb="FF000000"/>
      <name val="Calibri"/>
      <family val="2"/>
    </font>
    <font>
      <b/>
      <sz val="16"/>
      <color rgb="FF000000"/>
      <name val="Calibri"/>
      <family val="2"/>
    </font>
    <font>
      <b/>
      <sz val="22"/>
      <color rgb="FF000000"/>
      <name val="Calibri"/>
      <family val="2"/>
    </font>
    <font>
      <sz val="18"/>
      <color rgb="FF000000"/>
      <name val="Calibri"/>
      <family val="2"/>
    </font>
    <font>
      <b/>
      <sz val="18"/>
      <color rgb="FF000000"/>
      <name val="Calibri"/>
      <family val="2"/>
    </font>
    <font>
      <b/>
      <sz val="20"/>
      <color rgb="FF000000"/>
      <name val="Calibri"/>
      <family val="2"/>
    </font>
    <font>
      <b/>
      <sz val="24"/>
      <color rgb="FF000000"/>
      <name val="Calibri"/>
      <family val="2"/>
    </font>
    <font>
      <sz val="12"/>
      <color rgb="FF000000"/>
      <name val="Calibri"/>
      <family val="2"/>
    </font>
  </fonts>
  <fills count="12">
    <fill>
      <patternFill patternType="none"/>
    </fill>
    <fill>
      <patternFill patternType="gray125"/>
    </fill>
    <fill>
      <patternFill patternType="solid">
        <fgColor theme="9" tint="0.79998168889431442"/>
        <bgColor indexed="64"/>
      </patternFill>
    </fill>
    <fill>
      <patternFill patternType="solid">
        <fgColor rgb="FFBFBFBF"/>
        <bgColor indexed="64"/>
      </patternFill>
    </fill>
    <fill>
      <patternFill patternType="solid">
        <fgColor rgb="FFA5A5A5"/>
        <bgColor indexed="64"/>
      </patternFill>
    </fill>
    <fill>
      <patternFill patternType="solid">
        <fgColor rgb="FFFFFFFF"/>
        <bgColor rgb="FF000000"/>
      </patternFill>
    </fill>
    <fill>
      <patternFill patternType="solid">
        <fgColor theme="2" tint="-9.9978637043366805E-2"/>
        <bgColor indexed="64"/>
      </patternFill>
    </fill>
    <fill>
      <patternFill patternType="solid">
        <fgColor rgb="FFD9D9D9"/>
        <bgColor indexed="64"/>
      </patternFill>
    </fill>
    <fill>
      <patternFill patternType="solid">
        <fgColor theme="0" tint="-0.14999847407452621"/>
        <bgColor indexed="64"/>
      </patternFill>
    </fill>
    <fill>
      <patternFill patternType="solid">
        <fgColor theme="0"/>
        <bgColor indexed="64"/>
      </patternFill>
    </fill>
    <fill>
      <patternFill patternType="solid">
        <fgColor rgb="FFFFCDCD"/>
        <bgColor indexed="64"/>
      </patternFill>
    </fill>
    <fill>
      <patternFill patternType="solid">
        <fgColor rgb="FFA9D08F"/>
        <bgColor indexed="64"/>
      </patternFill>
    </fill>
  </fills>
  <borders count="98">
    <border>
      <left/>
      <right/>
      <top/>
      <bottom/>
      <diagonal/>
    </border>
    <border>
      <left/>
      <right/>
      <top style="medium">
        <color indexed="64"/>
      </top>
      <bottom/>
      <diagonal/>
    </border>
    <border>
      <left/>
      <right/>
      <top style="thin">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medium">
        <color auto="1"/>
      </right>
      <top style="thin">
        <color auto="1"/>
      </top>
      <bottom style="thin">
        <color auto="1"/>
      </bottom>
      <diagonal/>
    </border>
    <border>
      <left/>
      <right/>
      <top/>
      <bottom style="thin">
        <color auto="1"/>
      </bottom>
      <diagonal/>
    </border>
    <border>
      <left style="medium">
        <color indexed="64"/>
      </left>
      <right/>
      <top style="thin">
        <color auto="1"/>
      </top>
      <bottom style="thin">
        <color auto="1"/>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auto="1"/>
      </right>
      <top/>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right style="medium">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right style="thin">
        <color auto="1"/>
      </right>
      <top style="medium">
        <color indexed="64"/>
      </top>
      <bottom style="thin">
        <color auto="1"/>
      </bottom>
      <diagonal/>
    </border>
    <border>
      <left style="medium">
        <color indexed="64"/>
      </left>
      <right style="medium">
        <color auto="1"/>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medium">
        <color indexed="64"/>
      </right>
      <top style="thin">
        <color auto="1"/>
      </top>
      <bottom style="medium">
        <color indexed="64"/>
      </bottom>
      <diagonal/>
    </border>
    <border>
      <left/>
      <right style="thin">
        <color auto="1"/>
      </right>
      <top style="thin">
        <color auto="1"/>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medium">
        <color auto="1"/>
      </right>
      <top style="thin">
        <color auto="1"/>
      </top>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medium">
        <color indexed="64"/>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style="medium">
        <color indexed="64"/>
      </left>
      <right/>
      <top/>
      <bottom style="thin">
        <color auto="1"/>
      </bottom>
      <diagonal/>
    </border>
    <border>
      <left/>
      <right style="medium">
        <color indexed="64"/>
      </right>
      <top/>
      <bottom style="thin">
        <color auto="1"/>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right/>
      <top/>
      <bottom style="slantDashDot">
        <color auto="1"/>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medium">
        <color indexed="64"/>
      </right>
      <top/>
      <bottom style="thin">
        <color auto="1"/>
      </bottom>
      <diagonal/>
    </border>
    <border>
      <left style="thin">
        <color indexed="64"/>
      </left>
      <right/>
      <top/>
      <bottom/>
      <diagonal/>
    </border>
    <border>
      <left/>
      <right/>
      <top style="thin">
        <color indexed="64"/>
      </top>
      <bottom style="thin">
        <color indexed="64"/>
      </bottom>
      <diagonal/>
    </border>
    <border>
      <left/>
      <right/>
      <top style="medium">
        <color indexed="64"/>
      </top>
      <bottom style="thin">
        <color auto="1"/>
      </bottom>
      <diagonal/>
    </border>
    <border>
      <left/>
      <right style="medium">
        <color auto="1"/>
      </right>
      <top style="thin">
        <color indexed="64"/>
      </top>
      <bottom/>
      <diagonal/>
    </border>
    <border>
      <left style="medium">
        <color indexed="64"/>
      </left>
      <right style="medium">
        <color indexed="64"/>
      </right>
      <top style="medium">
        <color indexed="64"/>
      </top>
      <bottom/>
      <diagonal/>
    </border>
    <border>
      <left/>
      <right/>
      <top style="medium">
        <color auto="1"/>
      </top>
      <bottom style="medium">
        <color auto="1"/>
      </bottom>
      <diagonal/>
    </border>
    <border>
      <left/>
      <right style="medium">
        <color auto="1"/>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auto="1"/>
      </right>
      <top style="medium">
        <color indexed="64"/>
      </top>
      <bottom/>
      <diagonal/>
    </border>
    <border>
      <left style="medium">
        <color indexed="64"/>
      </left>
      <right style="thin">
        <color auto="1"/>
      </right>
      <top/>
      <bottom/>
      <diagonal/>
    </border>
    <border>
      <left style="medium">
        <color indexed="64"/>
      </left>
      <right style="medium">
        <color indexed="64"/>
      </right>
      <top/>
      <bottom style="medium">
        <color indexed="64"/>
      </bottom>
      <diagonal/>
    </border>
    <border>
      <left/>
      <right style="thin">
        <color indexed="64"/>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auto="1"/>
      </left>
      <right style="medium">
        <color rgb="FF000000"/>
      </right>
      <top style="medium">
        <color auto="1"/>
      </top>
      <bottom/>
      <diagonal/>
    </border>
    <border>
      <left style="medium">
        <color auto="1"/>
      </left>
      <right style="medium">
        <color rgb="FF000000"/>
      </right>
      <top/>
      <bottom/>
      <diagonal/>
    </border>
    <border>
      <left style="medium">
        <color auto="1"/>
      </left>
      <right style="medium">
        <color rgb="FF000000"/>
      </right>
      <top/>
      <bottom style="medium">
        <color auto="1"/>
      </bottom>
      <diagonal/>
    </border>
    <border>
      <left/>
      <right style="thin">
        <color auto="1"/>
      </right>
      <top style="medium">
        <color indexed="64"/>
      </top>
      <bottom style="medium">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style="thin">
        <color indexed="64"/>
      </right>
      <top style="medium">
        <color indexed="64"/>
      </top>
      <bottom/>
      <diagonal/>
    </border>
    <border>
      <left style="medium">
        <color theme="1"/>
      </left>
      <right style="thin">
        <color theme="1"/>
      </right>
      <top style="medium">
        <color theme="1"/>
      </top>
      <bottom style="thin">
        <color theme="1"/>
      </bottom>
      <diagonal/>
    </border>
    <border>
      <left style="medium">
        <color theme="1"/>
      </left>
      <right style="thin">
        <color theme="1"/>
      </right>
      <top style="thin">
        <color theme="1"/>
      </top>
      <bottom style="thin">
        <color theme="1"/>
      </bottom>
      <diagonal/>
    </border>
    <border>
      <left/>
      <right style="thin">
        <color indexed="64"/>
      </right>
      <top/>
      <bottom style="thin">
        <color theme="1"/>
      </bottom>
      <diagonal/>
    </border>
    <border>
      <left style="thin">
        <color indexed="64"/>
      </left>
      <right/>
      <top/>
      <bottom style="thin">
        <color theme="1"/>
      </bottom>
      <diagonal/>
    </border>
    <border>
      <left style="thin">
        <color auto="1"/>
      </left>
      <right style="medium">
        <color indexed="64"/>
      </right>
      <top/>
      <bottom style="thin">
        <color theme="1"/>
      </bottom>
      <diagonal/>
    </border>
    <border>
      <left/>
      <right style="thin">
        <color indexed="64"/>
      </right>
      <top style="thin">
        <color theme="1"/>
      </top>
      <bottom style="thin">
        <color indexed="64"/>
      </bottom>
      <diagonal/>
    </border>
    <border>
      <left style="thin">
        <color indexed="64"/>
      </left>
      <right/>
      <top style="thin">
        <color theme="1"/>
      </top>
      <bottom style="thin">
        <color indexed="64"/>
      </bottom>
      <diagonal/>
    </border>
    <border>
      <left style="medium">
        <color indexed="64"/>
      </left>
      <right style="thin">
        <color auto="1"/>
      </right>
      <top style="thin">
        <color theme="1"/>
      </top>
      <bottom style="thin">
        <color auto="1"/>
      </bottom>
      <diagonal/>
    </border>
    <border>
      <left style="thin">
        <color auto="1"/>
      </left>
      <right style="medium">
        <color indexed="64"/>
      </right>
      <top style="thin">
        <color theme="1"/>
      </top>
      <bottom style="thin">
        <color auto="1"/>
      </bottom>
      <diagonal/>
    </border>
    <border>
      <left style="medium">
        <color theme="1"/>
      </left>
      <right style="thin">
        <color theme="1"/>
      </right>
      <top style="thin">
        <color theme="1"/>
      </top>
      <bottom/>
      <diagonal/>
    </border>
    <border>
      <left style="medium">
        <color theme="1"/>
      </left>
      <right style="thin">
        <color theme="1"/>
      </right>
      <top/>
      <bottom style="thin">
        <color theme="1"/>
      </bottom>
      <diagonal/>
    </border>
    <border>
      <left style="thin">
        <color theme="1"/>
      </left>
      <right style="medium">
        <color indexed="64"/>
      </right>
      <top style="thin">
        <color theme="1"/>
      </top>
      <bottom style="thin">
        <color theme="1"/>
      </bottom>
      <diagonal/>
    </border>
    <border>
      <left style="medium">
        <color auto="1"/>
      </left>
      <right style="thin">
        <color auto="1"/>
      </right>
      <top style="thin">
        <color auto="1"/>
      </top>
      <bottom style="thin">
        <color theme="1"/>
      </bottom>
      <diagonal/>
    </border>
  </borders>
  <cellStyleXfs count="4">
    <xf numFmtId="0" fontId="0" fillId="0" borderId="0"/>
    <xf numFmtId="9" fontId="10" fillId="0" borderId="0" applyFont="0" applyFill="0" applyBorder="0" applyAlignment="0" applyProtection="0"/>
    <xf numFmtId="0" fontId="27" fillId="0" borderId="0"/>
    <xf numFmtId="0" fontId="75" fillId="0" borderId="0" applyNumberFormat="0" applyFill="0" applyBorder="0" applyAlignment="0" applyProtection="0"/>
  </cellStyleXfs>
  <cellXfs count="806">
    <xf numFmtId="0" fontId="0" fillId="0" borderId="0" xfId="0"/>
    <xf numFmtId="0" fontId="3" fillId="0" borderId="0" xfId="0" applyFont="1" applyAlignment="1">
      <alignment horizontal="center" vertical="center" wrapText="1"/>
    </xf>
    <xf numFmtId="0" fontId="5" fillId="0" borderId="0" xfId="0" applyFont="1" applyAlignment="1">
      <alignment vertical="center" wrapText="1"/>
    </xf>
    <xf numFmtId="0" fontId="6" fillId="0" borderId="0" xfId="0" applyFont="1" applyAlignment="1">
      <alignment vertical="center" wrapText="1"/>
    </xf>
    <xf numFmtId="0" fontId="0" fillId="0" borderId="0" xfId="0" applyAlignment="1">
      <alignment vertical="top"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top" wrapText="1"/>
    </xf>
    <xf numFmtId="0" fontId="0" fillId="0" borderId="1" xfId="0" applyBorder="1" applyAlignment="1">
      <alignment vertical="top" wrapText="1"/>
    </xf>
    <xf numFmtId="0" fontId="0" fillId="0" borderId="2" xfId="0" applyBorder="1" applyAlignment="1">
      <alignment horizontal="center" vertical="center" wrapText="1"/>
    </xf>
    <xf numFmtId="0" fontId="0" fillId="0" borderId="2" xfId="0" applyBorder="1" applyAlignment="1">
      <alignment vertical="center" wrapText="1"/>
    </xf>
    <xf numFmtId="0" fontId="0" fillId="0" borderId="0" xfId="0" applyAlignment="1">
      <alignment horizontal="center" vertical="top" wrapText="1"/>
    </xf>
    <xf numFmtId="0" fontId="3" fillId="0" borderId="3" xfId="0" applyFont="1" applyBorder="1" applyAlignment="1">
      <alignment horizontal="center" vertical="center" wrapText="1"/>
    </xf>
    <xf numFmtId="0" fontId="0" fillId="0" borderId="3" xfId="0" applyBorder="1" applyAlignment="1">
      <alignment horizontal="center" vertical="center" wrapText="1"/>
    </xf>
    <xf numFmtId="0" fontId="9" fillId="0" borderId="3" xfId="0" applyFont="1" applyBorder="1" applyAlignment="1">
      <alignment horizontal="center" vertical="center" wrapText="1"/>
    </xf>
    <xf numFmtId="0" fontId="5" fillId="0" borderId="3" xfId="0" applyFont="1" applyBorder="1" applyAlignment="1">
      <alignment horizontal="left" vertical="center" wrapText="1"/>
    </xf>
    <xf numFmtId="0" fontId="5" fillId="0" borderId="3" xfId="0" applyFont="1" applyBorder="1" applyAlignment="1">
      <alignment vertical="center" wrapText="1"/>
    </xf>
    <xf numFmtId="0" fontId="7" fillId="0" borderId="3" xfId="0" applyFont="1" applyBorder="1" applyAlignment="1">
      <alignment vertical="center" wrapText="1"/>
    </xf>
    <xf numFmtId="0" fontId="0" fillId="0" borderId="3" xfId="0" applyBorder="1" applyAlignment="1">
      <alignment horizontal="left" vertical="center" wrapText="1"/>
    </xf>
    <xf numFmtId="0" fontId="0" fillId="0" borderId="3" xfId="0" applyBorder="1" applyAlignment="1">
      <alignment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0" fillId="0" borderId="4" xfId="0" applyBorder="1" applyAlignment="1">
      <alignment horizontal="center" vertical="center" wrapText="1"/>
    </xf>
    <xf numFmtId="0" fontId="3" fillId="0" borderId="10" xfId="0" applyFont="1" applyBorder="1" applyAlignment="1">
      <alignment horizontal="center" vertical="center" wrapText="1"/>
    </xf>
    <xf numFmtId="0" fontId="0" fillId="0" borderId="8" xfId="0" applyBorder="1" applyAlignment="1">
      <alignment horizontal="center" vertical="center" wrapText="1"/>
    </xf>
    <xf numFmtId="0" fontId="0" fillId="0" borderId="11" xfId="0" applyBorder="1" applyAlignment="1">
      <alignment horizontal="left" vertical="center" wrapText="1"/>
    </xf>
    <xf numFmtId="0" fontId="0" fillId="0" borderId="11" xfId="0" applyBorder="1" applyAlignment="1">
      <alignment horizontal="center" vertical="center" wrapText="1"/>
    </xf>
    <xf numFmtId="0" fontId="5" fillId="0" borderId="5" xfId="0" applyFont="1" applyBorder="1" applyAlignment="1">
      <alignment horizontal="left" vertical="center" wrapText="1"/>
    </xf>
    <xf numFmtId="0" fontId="5" fillId="0" borderId="5" xfId="0" applyFont="1" applyBorder="1" applyAlignment="1">
      <alignment vertical="center" wrapText="1"/>
    </xf>
    <xf numFmtId="0" fontId="7" fillId="0" borderId="5" xfId="0" applyFont="1" applyBorder="1" applyAlignment="1">
      <alignment vertical="center" wrapText="1"/>
    </xf>
    <xf numFmtId="0" fontId="5" fillId="0" borderId="5" xfId="0" applyFont="1" applyBorder="1" applyAlignment="1">
      <alignment vertical="top" wrapText="1"/>
    </xf>
    <xf numFmtId="0" fontId="7" fillId="0" borderId="11" xfId="0" applyFont="1" applyBorder="1" applyAlignment="1">
      <alignment vertical="center" wrapText="1"/>
    </xf>
    <xf numFmtId="0" fontId="5" fillId="0" borderId="3" xfId="0" applyFont="1" applyBorder="1" applyAlignment="1">
      <alignment horizontal="center" vertical="center" wrapText="1"/>
    </xf>
    <xf numFmtId="0" fontId="5" fillId="0" borderId="11" xfId="0" applyFont="1" applyBorder="1" applyAlignment="1">
      <alignment vertical="center" wrapText="1"/>
    </xf>
    <xf numFmtId="0" fontId="5" fillId="0" borderId="9" xfId="0" applyFont="1" applyBorder="1" applyAlignment="1">
      <alignment vertical="center" wrapText="1"/>
    </xf>
    <xf numFmtId="0" fontId="0" fillId="0" borderId="11" xfId="0" applyBorder="1" applyAlignment="1">
      <alignment vertical="center" wrapText="1"/>
    </xf>
    <xf numFmtId="0" fontId="4" fillId="0" borderId="3" xfId="0" applyFont="1" applyBorder="1" applyAlignment="1">
      <alignment horizontal="center" vertical="center" wrapText="1"/>
    </xf>
    <xf numFmtId="0" fontId="9" fillId="0" borderId="3" xfId="0" applyFont="1" applyBorder="1" applyAlignment="1">
      <alignment horizontal="left" vertical="center" wrapText="1"/>
    </xf>
    <xf numFmtId="0" fontId="8" fillId="0" borderId="3" xfId="0" applyFont="1" applyBorder="1" applyAlignment="1">
      <alignment vertical="center" wrapText="1"/>
    </xf>
    <xf numFmtId="0" fontId="7" fillId="3" borderId="3" xfId="0" applyFont="1" applyFill="1" applyBorder="1" applyAlignment="1">
      <alignment vertical="center" wrapText="1"/>
    </xf>
    <xf numFmtId="0" fontId="5" fillId="3" borderId="3" xfId="0" applyFont="1" applyFill="1" applyBorder="1" applyAlignment="1">
      <alignment vertical="center" wrapText="1"/>
    </xf>
    <xf numFmtId="0" fontId="9" fillId="0" borderId="4" xfId="0" applyFont="1" applyBorder="1" applyAlignment="1">
      <alignment horizontal="center" vertical="center" wrapText="1"/>
    </xf>
    <xf numFmtId="0" fontId="8" fillId="0" borderId="5" xfId="0" applyFont="1" applyBorder="1" applyAlignment="1">
      <alignment vertical="center" wrapText="1"/>
    </xf>
    <xf numFmtId="0" fontId="0" fillId="0" borderId="4" xfId="0" applyBorder="1" applyAlignment="1">
      <alignment horizontal="center" vertical="center"/>
    </xf>
    <xf numFmtId="0" fontId="0" fillId="0" borderId="5" xfId="0" applyBorder="1" applyAlignment="1">
      <alignment vertical="center"/>
    </xf>
    <xf numFmtId="0" fontId="5" fillId="4" borderId="3" xfId="0" applyFont="1" applyFill="1" applyBorder="1" applyAlignment="1">
      <alignment vertical="center" wrapText="1"/>
    </xf>
    <xf numFmtId="0" fontId="0" fillId="0" borderId="3" xfId="0" applyBorder="1" applyAlignment="1">
      <alignment vertical="top" wrapText="1"/>
    </xf>
    <xf numFmtId="0" fontId="15" fillId="0" borderId="0" xfId="0" applyFont="1"/>
    <xf numFmtId="0" fontId="15" fillId="0" borderId="3" xfId="0" applyFont="1" applyBorder="1" applyAlignment="1">
      <alignment horizontal="center" vertical="center"/>
    </xf>
    <xf numFmtId="165" fontId="15" fillId="0" borderId="3" xfId="0" applyNumberFormat="1" applyFont="1" applyBorder="1" applyAlignment="1">
      <alignment horizontal="center" vertical="center"/>
    </xf>
    <xf numFmtId="0" fontId="0" fillId="0" borderId="0" xfId="0" applyAlignment="1">
      <alignment horizontal="center"/>
    </xf>
    <xf numFmtId="0" fontId="28" fillId="0" borderId="0" xfId="2" applyFont="1"/>
    <xf numFmtId="0" fontId="27" fillId="0" borderId="0" xfId="2"/>
    <xf numFmtId="0" fontId="3" fillId="0" borderId="0" xfId="0" applyFont="1"/>
    <xf numFmtId="0" fontId="26" fillId="0" borderId="0" xfId="0" applyFont="1"/>
    <xf numFmtId="0" fontId="3" fillId="0" borderId="0" xfId="0" applyFont="1" applyAlignment="1">
      <alignment horizontal="center"/>
    </xf>
    <xf numFmtId="0" fontId="29" fillId="0" borderId="0" xfId="0" applyFont="1"/>
    <xf numFmtId="0" fontId="30" fillId="0" borderId="0" xfId="0" applyFont="1"/>
    <xf numFmtId="0" fontId="0" fillId="0" borderId="0" xfId="0" applyAlignment="1">
      <alignment horizontal="left"/>
    </xf>
    <xf numFmtId="14" fontId="0" fillId="0" borderId="0" xfId="0" applyNumberFormat="1" applyAlignment="1">
      <alignment horizontal="left"/>
    </xf>
    <xf numFmtId="14" fontId="0" fillId="0" borderId="0" xfId="0" applyNumberFormat="1"/>
    <xf numFmtId="0" fontId="12" fillId="0" borderId="0" xfId="0" applyFont="1"/>
    <xf numFmtId="0" fontId="14" fillId="0" borderId="0" xfId="0" applyFont="1" applyAlignment="1">
      <alignment horizontal="center" vertical="center"/>
    </xf>
    <xf numFmtId="0" fontId="13" fillId="0" borderId="0" xfId="0" applyFont="1" applyAlignment="1">
      <alignment horizontal="left" vertical="center"/>
    </xf>
    <xf numFmtId="0" fontId="19" fillId="0" borderId="0" xfId="0" applyFont="1" applyAlignment="1">
      <alignment horizontal="left"/>
    </xf>
    <xf numFmtId="0" fontId="19" fillId="0" borderId="0" xfId="0" applyFont="1"/>
    <xf numFmtId="49" fontId="17" fillId="0" borderId="12" xfId="0" applyNumberFormat="1" applyFont="1" applyBorder="1" applyAlignment="1">
      <alignment horizontal="right" vertical="center" shrinkToFit="1"/>
    </xf>
    <xf numFmtId="0" fontId="17" fillId="0" borderId="16" xfId="0" applyFont="1" applyBorder="1" applyAlignment="1">
      <alignment horizontal="right" vertical="center" shrinkToFit="1"/>
    </xf>
    <xf numFmtId="0" fontId="15" fillId="0" borderId="21" xfId="0" applyFont="1" applyBorder="1"/>
    <xf numFmtId="0" fontId="15" fillId="0" borderId="29" xfId="0" applyFont="1" applyBorder="1"/>
    <xf numFmtId="0" fontId="15" fillId="0" borderId="23" xfId="0" applyFont="1" applyBorder="1"/>
    <xf numFmtId="0" fontId="15" fillId="0" borderId="22" xfId="0" applyFont="1" applyBorder="1"/>
    <xf numFmtId="0" fontId="15" fillId="0" borderId="28" xfId="0" applyFont="1" applyBorder="1"/>
    <xf numFmtId="0" fontId="15" fillId="0" borderId="27" xfId="0" applyFont="1" applyBorder="1"/>
    <xf numFmtId="0" fontId="15" fillId="0" borderId="29" xfId="0" applyFont="1" applyBorder="1" applyAlignment="1">
      <alignment horizontal="center"/>
    </xf>
    <xf numFmtId="0" fontId="15" fillId="0" borderId="28" xfId="0" applyFont="1" applyBorder="1" applyAlignment="1">
      <alignment horizontal="center"/>
    </xf>
    <xf numFmtId="0" fontId="15" fillId="0" borderId="0" xfId="0" applyFont="1" applyAlignment="1">
      <alignment vertical="top" shrinkToFit="1"/>
    </xf>
    <xf numFmtId="0" fontId="14" fillId="0" borderId="0" xfId="0" applyFont="1"/>
    <xf numFmtId="0" fontId="15" fillId="0" borderId="0" xfId="0" applyFont="1" applyProtection="1">
      <protection locked="0"/>
    </xf>
    <xf numFmtId="0" fontId="3" fillId="0" borderId="0" xfId="0" applyFont="1" applyAlignment="1">
      <alignment horizontal="center" vertical="top" wrapText="1"/>
    </xf>
    <xf numFmtId="10" fontId="3" fillId="0" borderId="3" xfId="1" applyNumberFormat="1" applyFont="1" applyBorder="1" applyAlignment="1">
      <alignment horizontal="center" vertical="center" wrapText="1"/>
    </xf>
    <xf numFmtId="10" fontId="0" fillId="0" borderId="3" xfId="1" applyNumberFormat="1" applyFont="1" applyBorder="1" applyAlignment="1" applyProtection="1">
      <alignment horizontal="center" vertical="center" wrapText="1"/>
      <protection locked="0"/>
    </xf>
    <xf numFmtId="10" fontId="3" fillId="0" borderId="0" xfId="1" applyNumberFormat="1" applyFont="1" applyBorder="1" applyAlignment="1">
      <alignment horizontal="center" vertical="center" wrapText="1"/>
    </xf>
    <xf numFmtId="10" fontId="0" fillId="0" borderId="0" xfId="1" applyNumberFormat="1" applyFont="1" applyBorder="1" applyAlignment="1">
      <alignment horizontal="center" vertical="center" wrapText="1"/>
    </xf>
    <xf numFmtId="10" fontId="3" fillId="0" borderId="10" xfId="1" applyNumberFormat="1" applyFont="1" applyBorder="1" applyAlignment="1">
      <alignment horizontal="center" vertical="center" wrapText="1"/>
    </xf>
    <xf numFmtId="10" fontId="0" fillId="0" borderId="0" xfId="1" applyNumberFormat="1" applyFont="1" applyBorder="1" applyAlignment="1">
      <alignment vertical="top" wrapText="1"/>
    </xf>
    <xf numFmtId="0" fontId="11" fillId="0" borderId="0" xfId="0" applyFont="1" applyAlignment="1">
      <alignment horizontal="center" vertical="top" wrapText="1"/>
    </xf>
    <xf numFmtId="0" fontId="11" fillId="0" borderId="0" xfId="0" applyFont="1" applyAlignment="1">
      <alignment vertical="top" wrapText="1"/>
    </xf>
    <xf numFmtId="0" fontId="13" fillId="0" borderId="0" xfId="0" applyFont="1" applyAlignment="1">
      <alignment vertical="center"/>
    </xf>
    <xf numFmtId="0" fontId="36" fillId="0" borderId="0" xfId="0" applyFont="1"/>
    <xf numFmtId="0" fontId="40" fillId="0" borderId="0" xfId="0" applyFont="1" applyAlignment="1">
      <alignment horizontal="left" vertical="center" wrapText="1"/>
    </xf>
    <xf numFmtId="0" fontId="42" fillId="0" borderId="0" xfId="0" applyFont="1" applyAlignment="1">
      <alignment horizontal="center" vertical="center" wrapText="1"/>
    </xf>
    <xf numFmtId="0" fontId="0" fillId="0" borderId="0" xfId="0" applyAlignment="1">
      <alignment vertical="center"/>
    </xf>
    <xf numFmtId="0" fontId="46" fillId="0" borderId="0" xfId="0" applyFont="1"/>
    <xf numFmtId="0" fontId="43" fillId="0" borderId="3" xfId="0" applyFont="1" applyBorder="1" applyAlignment="1">
      <alignment horizontal="center" vertical="center" wrapText="1"/>
    </xf>
    <xf numFmtId="0" fontId="43" fillId="0" borderId="13" xfId="0" applyFont="1" applyBorder="1" applyAlignment="1">
      <alignment horizontal="center" vertical="center" wrapText="1"/>
    </xf>
    <xf numFmtId="0" fontId="43" fillId="0" borderId="24" xfId="0" applyFont="1" applyBorder="1" applyAlignment="1">
      <alignment horizontal="center" vertical="center" wrapText="1"/>
    </xf>
    <xf numFmtId="0" fontId="0" fillId="0" borderId="0" xfId="0" applyAlignment="1">
      <alignment horizontal="right"/>
    </xf>
    <xf numFmtId="0" fontId="0" fillId="0" borderId="0" xfId="0" applyAlignment="1">
      <alignment horizontal="center" wrapText="1"/>
    </xf>
    <xf numFmtId="0" fontId="0" fillId="0" borderId="0" xfId="0" applyAlignment="1">
      <alignment horizontal="center" vertical="center"/>
    </xf>
    <xf numFmtId="0" fontId="42" fillId="0" borderId="29" xfId="0" applyFont="1" applyBorder="1" applyAlignment="1">
      <alignment horizontal="center" vertical="center" wrapText="1"/>
    </xf>
    <xf numFmtId="0" fontId="47" fillId="0" borderId="74" xfId="0" applyFont="1" applyBorder="1" applyAlignment="1">
      <alignment vertical="center" wrapText="1"/>
    </xf>
    <xf numFmtId="0" fontId="47" fillId="0" borderId="76" xfId="0" applyFont="1" applyBorder="1" applyAlignment="1">
      <alignment vertical="center" wrapText="1"/>
    </xf>
    <xf numFmtId="0" fontId="49" fillId="0" borderId="74" xfId="0" applyFont="1" applyBorder="1" applyAlignment="1">
      <alignment vertical="center" wrapText="1"/>
    </xf>
    <xf numFmtId="0" fontId="49" fillId="0" borderId="76" xfId="0" applyFont="1" applyBorder="1" applyAlignment="1">
      <alignment vertical="center" wrapText="1"/>
    </xf>
    <xf numFmtId="0" fontId="49" fillId="0" borderId="77" xfId="0" applyFont="1" applyBorder="1" applyAlignment="1">
      <alignment vertical="center" wrapText="1"/>
    </xf>
    <xf numFmtId="0" fontId="49" fillId="0" borderId="78" xfId="0" applyFont="1" applyBorder="1" applyAlignment="1">
      <alignment vertical="center" wrapText="1"/>
    </xf>
    <xf numFmtId="0" fontId="47" fillId="0" borderId="63" xfId="0" applyFont="1" applyBorder="1" applyAlignment="1">
      <alignment vertical="center" wrapText="1"/>
    </xf>
    <xf numFmtId="0" fontId="47" fillId="0" borderId="79" xfId="0" applyFont="1" applyBorder="1" applyAlignment="1">
      <alignment vertical="center" wrapText="1"/>
    </xf>
    <xf numFmtId="0" fontId="49" fillId="0" borderId="66" xfId="0" applyFont="1" applyBorder="1" applyAlignment="1">
      <alignment vertical="center" wrapText="1"/>
    </xf>
    <xf numFmtId="0" fontId="49" fillId="0" borderId="80" xfId="0" applyFont="1" applyBorder="1" applyAlignment="1">
      <alignment vertical="center" wrapText="1"/>
    </xf>
    <xf numFmtId="0" fontId="49" fillId="0" borderId="81" xfId="0" applyFont="1" applyBorder="1" applyAlignment="1">
      <alignment vertical="center" wrapText="1"/>
    </xf>
    <xf numFmtId="0" fontId="14" fillId="0" borderId="0" xfId="0" applyFont="1" applyAlignment="1">
      <alignment horizontal="center"/>
    </xf>
    <xf numFmtId="0" fontId="15" fillId="0" borderId="0" xfId="0" applyFont="1" applyAlignment="1">
      <alignment horizontal="left"/>
    </xf>
    <xf numFmtId="0" fontId="14" fillId="0" borderId="11" xfId="0" applyFont="1" applyBorder="1" applyAlignment="1">
      <alignment horizontal="center"/>
    </xf>
    <xf numFmtId="0" fontId="15" fillId="0" borderId="3" xfId="0" applyFont="1" applyBorder="1" applyAlignment="1">
      <alignment horizontal="left" vertical="center"/>
    </xf>
    <xf numFmtId="9" fontId="15" fillId="0" borderId="3" xfId="0" applyNumberFormat="1" applyFont="1" applyBorder="1" applyAlignment="1">
      <alignment horizontal="center" vertical="center"/>
    </xf>
    <xf numFmtId="0" fontId="37" fillId="0" borderId="0" xfId="0" applyFont="1" applyAlignment="1">
      <alignment horizontal="center"/>
    </xf>
    <xf numFmtId="0" fontId="20" fillId="0" borderId="0" xfId="0" applyFont="1" applyAlignment="1">
      <alignment horizontal="left"/>
    </xf>
    <xf numFmtId="0" fontId="20" fillId="0" borderId="0" xfId="0" applyFont="1"/>
    <xf numFmtId="0" fontId="20" fillId="0" borderId="0" xfId="0" applyFont="1" applyAlignment="1">
      <alignment horizontal="right"/>
    </xf>
    <xf numFmtId="0" fontId="20" fillId="0" borderId="0" xfId="0" applyFont="1" applyAlignment="1">
      <alignment wrapText="1"/>
    </xf>
    <xf numFmtId="0" fontId="20" fillId="0" borderId="0" xfId="0" applyFont="1" applyAlignment="1">
      <alignment shrinkToFit="1"/>
    </xf>
    <xf numFmtId="0" fontId="20" fillId="0" borderId="0" xfId="0" applyFont="1" applyAlignment="1">
      <alignment horizontal="right" wrapText="1"/>
    </xf>
    <xf numFmtId="0" fontId="20" fillId="0" borderId="0" xfId="0" applyFont="1" applyAlignment="1">
      <alignment horizontal="center"/>
    </xf>
    <xf numFmtId="0" fontId="0" fillId="0" borderId="0" xfId="0" applyAlignment="1">
      <alignment horizontal="center" shrinkToFit="1"/>
    </xf>
    <xf numFmtId="0" fontId="15" fillId="0" borderId="3" xfId="0" applyFont="1" applyBorder="1" applyAlignment="1">
      <alignment horizontal="center" vertical="center" shrinkToFit="1"/>
    </xf>
    <xf numFmtId="0" fontId="20" fillId="0" borderId="0" xfId="0" applyFont="1" applyAlignment="1">
      <alignment horizontal="center" shrinkToFit="1"/>
    </xf>
    <xf numFmtId="0" fontId="15" fillId="0" borderId="17" xfId="0" applyFont="1" applyBorder="1" applyAlignment="1">
      <alignment horizontal="center" vertical="center"/>
    </xf>
    <xf numFmtId="9" fontId="15" fillId="0" borderId="17" xfId="0" applyNumberFormat="1" applyFont="1" applyBorder="1" applyAlignment="1">
      <alignment horizontal="center" vertical="center"/>
    </xf>
    <xf numFmtId="0" fontId="15" fillId="0" borderId="11" xfId="0" applyFont="1" applyBorder="1" applyAlignment="1">
      <alignment horizontal="left" vertical="center"/>
    </xf>
    <xf numFmtId="9" fontId="15" fillId="0" borderId="11" xfId="0" applyNumberFormat="1" applyFont="1" applyBorder="1" applyAlignment="1">
      <alignment horizontal="center" vertical="center"/>
    </xf>
    <xf numFmtId="0" fontId="15" fillId="0" borderId="11" xfId="0" applyFont="1" applyBorder="1" applyAlignment="1">
      <alignment horizontal="center" vertical="center"/>
    </xf>
    <xf numFmtId="165" fontId="15" fillId="0" borderId="11" xfId="0" applyNumberFormat="1" applyFont="1" applyBorder="1" applyAlignment="1">
      <alignment horizontal="center" vertical="center"/>
    </xf>
    <xf numFmtId="0" fontId="15" fillId="0" borderId="11" xfId="0" applyFont="1" applyBorder="1" applyAlignment="1">
      <alignment horizontal="center" vertical="center" shrinkToFit="1"/>
    </xf>
    <xf numFmtId="0" fontId="32" fillId="0" borderId="0" xfId="0" applyFont="1"/>
    <xf numFmtId="0" fontId="0" fillId="0" borderId="0" xfId="0" applyProtection="1">
      <protection locked="0"/>
    </xf>
    <xf numFmtId="0" fontId="0" fillId="0" borderId="3" xfId="0" applyBorder="1" applyAlignment="1" applyProtection="1">
      <alignment horizontal="center" vertical="center" wrapText="1"/>
      <protection locked="0"/>
    </xf>
    <xf numFmtId="0" fontId="32" fillId="0" borderId="0" xfId="0" applyFont="1" applyAlignment="1">
      <alignment shrinkToFit="1"/>
    </xf>
    <xf numFmtId="0" fontId="56" fillId="0" borderId="1" xfId="0" applyFont="1" applyBorder="1"/>
    <xf numFmtId="0" fontId="56" fillId="0" borderId="0" xfId="0" applyFont="1"/>
    <xf numFmtId="0" fontId="56" fillId="0" borderId="23" xfId="0" applyFont="1" applyBorder="1"/>
    <xf numFmtId="0" fontId="56" fillId="0" borderId="27" xfId="0" applyFont="1" applyBorder="1"/>
    <xf numFmtId="0" fontId="56" fillId="0" borderId="29" xfId="0" applyFont="1" applyBorder="1"/>
    <xf numFmtId="0" fontId="18" fillId="0" borderId="3" xfId="0" applyFont="1" applyBorder="1" applyAlignment="1" applyProtection="1">
      <alignment horizontal="left" vertical="center" indent="1" shrinkToFit="1"/>
      <protection locked="0"/>
    </xf>
    <xf numFmtId="0" fontId="16" fillId="0" borderId="0" xfId="0" applyFont="1" applyAlignment="1">
      <alignment horizontal="center" vertical="top"/>
    </xf>
    <xf numFmtId="166" fontId="21" fillId="0" borderId="0" xfId="0" applyNumberFormat="1" applyFont="1" applyAlignment="1">
      <alignment horizontal="center" vertical="top"/>
    </xf>
    <xf numFmtId="0" fontId="37" fillId="0" borderId="0" xfId="0" applyFont="1" applyAlignment="1">
      <alignment horizontal="center" vertical="top"/>
    </xf>
    <xf numFmtId="0" fontId="15" fillId="0" borderId="0" xfId="0" applyFont="1" applyAlignment="1">
      <alignment horizontal="center"/>
    </xf>
    <xf numFmtId="0" fontId="15" fillId="0" borderId="0" xfId="0" applyFont="1" applyAlignment="1">
      <alignment horizontal="right"/>
    </xf>
    <xf numFmtId="0" fontId="15" fillId="0" borderId="0" xfId="0" applyFont="1" applyAlignment="1">
      <alignment horizontal="center" vertical="center"/>
    </xf>
    <xf numFmtId="0" fontId="16" fillId="0" borderId="43" xfId="0" applyFont="1" applyBorder="1" applyAlignment="1">
      <alignment horizontal="center" vertical="center" wrapText="1"/>
    </xf>
    <xf numFmtId="0" fontId="16" fillId="0" borderId="44" xfId="0" applyFont="1" applyBorder="1" applyAlignment="1">
      <alignment horizontal="center" vertical="center" wrapText="1"/>
    </xf>
    <xf numFmtId="0" fontId="14" fillId="0" borderId="43" xfId="0" applyFont="1" applyBorder="1" applyAlignment="1">
      <alignment horizontal="center" vertical="center"/>
    </xf>
    <xf numFmtId="0" fontId="15" fillId="0" borderId="0" xfId="0" applyFont="1" applyAlignment="1">
      <alignment vertical="center"/>
    </xf>
    <xf numFmtId="0" fontId="34" fillId="0" borderId="0" xfId="0" applyFont="1" applyAlignment="1">
      <alignment horizontal="center" vertical="center"/>
    </xf>
    <xf numFmtId="0" fontId="34" fillId="0" borderId="0" xfId="0" applyFont="1" applyAlignment="1">
      <alignment vertical="center"/>
    </xf>
    <xf numFmtId="0" fontId="15" fillId="0" borderId="67" xfId="0" applyFont="1" applyBorder="1" applyAlignment="1">
      <alignment horizontal="center" vertical="center"/>
    </xf>
    <xf numFmtId="0" fontId="15" fillId="0" borderId="13" xfId="0" applyFont="1" applyBorder="1" applyAlignment="1">
      <alignment horizontal="center" vertical="center"/>
    </xf>
    <xf numFmtId="10" fontId="15" fillId="0" borderId="30" xfId="0" applyNumberFormat="1" applyFont="1" applyBorder="1" applyAlignment="1">
      <alignment horizontal="center" vertical="center"/>
    </xf>
    <xf numFmtId="1" fontId="15" fillId="0" borderId="15" xfId="0" applyNumberFormat="1" applyFont="1" applyBorder="1" applyAlignment="1">
      <alignment horizontal="center" vertical="center"/>
    </xf>
    <xf numFmtId="1" fontId="15" fillId="0" borderId="30" xfId="0" applyNumberFormat="1" applyFont="1" applyBorder="1" applyAlignment="1">
      <alignment horizontal="center" vertical="center"/>
    </xf>
    <xf numFmtId="165" fontId="15" fillId="0" borderId="36" xfId="0" applyNumberFormat="1" applyFont="1" applyBorder="1" applyAlignment="1">
      <alignment horizontal="center" vertical="center"/>
    </xf>
    <xf numFmtId="165" fontId="15" fillId="0" borderId="13" xfId="0" applyNumberFormat="1" applyFont="1" applyBorder="1" applyAlignment="1">
      <alignment horizontal="center" vertical="center"/>
    </xf>
    <xf numFmtId="0" fontId="15" fillId="0" borderId="15" xfId="0" applyFont="1" applyBorder="1" applyAlignment="1">
      <alignment horizontal="center" vertical="center" wrapText="1"/>
    </xf>
    <xf numFmtId="0" fontId="15" fillId="0" borderId="68" xfId="0" applyFont="1" applyBorder="1" applyAlignment="1">
      <alignment horizontal="center" vertical="center"/>
    </xf>
    <xf numFmtId="0" fontId="15" fillId="0" borderId="10" xfId="0" applyFont="1" applyBorder="1" applyAlignment="1">
      <alignment horizontal="center" vertical="center"/>
    </xf>
    <xf numFmtId="10" fontId="15" fillId="0" borderId="7" xfId="0" applyNumberFormat="1" applyFont="1" applyBorder="1" applyAlignment="1">
      <alignment horizontal="center" vertical="center"/>
    </xf>
    <xf numFmtId="0" fontId="15" fillId="0" borderId="58" xfId="0" applyFont="1" applyBorder="1" applyAlignment="1">
      <alignment horizontal="center" vertical="center"/>
    </xf>
    <xf numFmtId="1" fontId="15" fillId="0" borderId="57" xfId="0" applyNumberFormat="1" applyFont="1" applyBorder="1" applyAlignment="1">
      <alignment horizontal="center" vertical="center"/>
    </xf>
    <xf numFmtId="1" fontId="15" fillId="0" borderId="7" xfId="0" applyNumberFormat="1" applyFont="1" applyBorder="1" applyAlignment="1">
      <alignment horizontal="center" vertical="center"/>
    </xf>
    <xf numFmtId="165" fontId="15" fillId="0" borderId="38" xfId="0" applyNumberFormat="1" applyFont="1" applyBorder="1" applyAlignment="1">
      <alignment horizontal="center" vertical="center"/>
    </xf>
    <xf numFmtId="0" fontId="15" fillId="0" borderId="18" xfId="0" applyFont="1" applyBorder="1" applyAlignment="1">
      <alignment horizontal="center" vertical="center" wrapText="1"/>
    </xf>
    <xf numFmtId="10" fontId="15" fillId="0" borderId="5" xfId="0" applyNumberFormat="1" applyFont="1" applyBorder="1" applyAlignment="1">
      <alignment horizontal="center" vertical="center"/>
    </xf>
    <xf numFmtId="0" fontId="15" fillId="0" borderId="38" xfId="0" applyFont="1" applyBorder="1" applyAlignment="1">
      <alignment horizontal="center" vertical="center"/>
    </xf>
    <xf numFmtId="1" fontId="15" fillId="0" borderId="18" xfId="0" applyNumberFormat="1" applyFont="1" applyBorder="1" applyAlignment="1">
      <alignment horizontal="center" vertical="center"/>
    </xf>
    <xf numFmtId="1" fontId="15" fillId="0" borderId="5" xfId="0" applyNumberFormat="1" applyFont="1" applyBorder="1" applyAlignment="1">
      <alignment horizontal="center" vertical="center"/>
    </xf>
    <xf numFmtId="0" fontId="15" fillId="0" borderId="56" xfId="0" applyFont="1" applyBorder="1" applyAlignment="1">
      <alignment horizontal="center" vertical="center"/>
    </xf>
    <xf numFmtId="10" fontId="15" fillId="0" borderId="57" xfId="0" applyNumberFormat="1" applyFont="1" applyBorder="1" applyAlignment="1">
      <alignment horizontal="center" vertical="center"/>
    </xf>
    <xf numFmtId="0" fontId="15" fillId="0" borderId="51" xfId="0" applyFont="1" applyBorder="1" applyAlignment="1">
      <alignment horizontal="center" vertical="center"/>
    </xf>
    <xf numFmtId="165" fontId="15" fillId="0" borderId="10" xfId="0" applyNumberFormat="1" applyFont="1" applyBorder="1" applyAlignment="1">
      <alignment horizontal="center" vertical="center"/>
    </xf>
    <xf numFmtId="165" fontId="15" fillId="0" borderId="7" xfId="0" applyNumberFormat="1" applyFont="1" applyBorder="1" applyAlignment="1">
      <alignment horizontal="center" vertical="center"/>
    </xf>
    <xf numFmtId="0" fontId="15" fillId="0" borderId="57" xfId="0" applyFont="1" applyBorder="1" applyAlignment="1">
      <alignment horizontal="center" vertical="center" wrapText="1"/>
    </xf>
    <xf numFmtId="0" fontId="15" fillId="0" borderId="20" xfId="0" applyFont="1" applyBorder="1" applyAlignment="1">
      <alignment horizontal="center" vertical="center"/>
    </xf>
    <xf numFmtId="165" fontId="15" fillId="0" borderId="5" xfId="0" applyNumberFormat="1" applyFont="1" applyBorder="1" applyAlignment="1">
      <alignment horizontal="center" vertical="center"/>
    </xf>
    <xf numFmtId="0" fontId="15" fillId="0" borderId="45" xfId="0" applyFont="1" applyBorder="1" applyAlignment="1">
      <alignment horizontal="center" vertical="center"/>
    </xf>
    <xf numFmtId="0" fontId="15" fillId="0" borderId="24" xfId="0" applyFont="1" applyBorder="1" applyAlignment="1">
      <alignment horizontal="left" vertical="center"/>
    </xf>
    <xf numFmtId="10" fontId="15" fillId="0" borderId="35" xfId="0" applyNumberFormat="1" applyFont="1" applyBorder="1" applyAlignment="1">
      <alignment horizontal="center" vertical="center"/>
    </xf>
    <xf numFmtId="49" fontId="15" fillId="0" borderId="39" xfId="0" applyNumberFormat="1" applyFont="1" applyBorder="1" applyAlignment="1">
      <alignment horizontal="center" vertical="center"/>
    </xf>
    <xf numFmtId="1" fontId="15" fillId="0" borderId="25" xfId="0" applyNumberFormat="1" applyFont="1" applyBorder="1" applyAlignment="1">
      <alignment horizontal="center" vertical="center"/>
    </xf>
    <xf numFmtId="165" fontId="15" fillId="0" borderId="2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25" xfId="0" applyNumberFormat="1" applyFont="1" applyBorder="1" applyAlignment="1">
      <alignment horizontal="center" vertical="center" wrapText="1"/>
    </xf>
    <xf numFmtId="10" fontId="15" fillId="0" borderId="0" xfId="0" applyNumberFormat="1" applyFont="1" applyAlignment="1">
      <alignment horizontal="center"/>
    </xf>
    <xf numFmtId="0" fontId="25" fillId="0" borderId="0" xfId="0" applyFont="1" applyAlignment="1">
      <alignment vertical="center"/>
    </xf>
    <xf numFmtId="0" fontId="15" fillId="0" borderId="55" xfId="0" applyFont="1" applyBorder="1"/>
    <xf numFmtId="0" fontId="56" fillId="0" borderId="0" xfId="0" applyFont="1" applyAlignment="1">
      <alignment vertical="center"/>
    </xf>
    <xf numFmtId="0" fontId="21" fillId="0" borderId="0" xfId="0" applyFont="1" applyAlignment="1">
      <alignment horizontal="center" vertical="top"/>
    </xf>
    <xf numFmtId="0" fontId="23" fillId="0" borderId="0" xfId="0" applyFont="1" applyAlignment="1">
      <alignment horizontal="center"/>
    </xf>
    <xf numFmtId="0" fontId="25" fillId="0" borderId="0" xfId="0" applyFont="1" applyAlignment="1">
      <alignment horizontal="center"/>
    </xf>
    <xf numFmtId="0" fontId="14" fillId="0" borderId="11" xfId="0" applyFont="1" applyBorder="1" applyAlignment="1">
      <alignment horizontal="center" vertical="center"/>
    </xf>
    <xf numFmtId="0" fontId="58" fillId="0" borderId="0" xfId="0" applyFont="1" applyAlignment="1">
      <alignment vertical="center"/>
    </xf>
    <xf numFmtId="0" fontId="3" fillId="0" borderId="0" xfId="0" applyFont="1" applyAlignment="1">
      <alignment vertical="center" wrapText="1"/>
    </xf>
    <xf numFmtId="10" fontId="0" fillId="2" borderId="3" xfId="1" applyNumberFormat="1" applyFont="1" applyFill="1" applyBorder="1" applyAlignment="1" applyProtection="1">
      <alignment horizontal="center" vertical="center" wrapText="1"/>
    </xf>
    <xf numFmtId="10" fontId="3" fillId="0" borderId="3" xfId="1" applyNumberFormat="1" applyFont="1" applyFill="1" applyBorder="1" applyAlignment="1">
      <alignment horizontal="center" vertical="center" wrapText="1"/>
    </xf>
    <xf numFmtId="10" fontId="0" fillId="0" borderId="0" xfId="1" applyNumberFormat="1" applyFont="1" applyFill="1" applyBorder="1" applyAlignment="1">
      <alignment horizontal="center" vertical="center" wrapText="1"/>
    </xf>
    <xf numFmtId="0" fontId="37" fillId="0" borderId="0" xfId="0" applyFont="1" applyAlignment="1">
      <alignment horizontal="right" vertical="top"/>
    </xf>
    <xf numFmtId="0" fontId="14" fillId="0" borderId="0" xfId="0" applyFont="1" applyAlignment="1">
      <alignment horizontal="right"/>
    </xf>
    <xf numFmtId="0" fontId="16" fillId="0" borderId="0" xfId="0" applyFont="1" applyAlignment="1">
      <alignment horizontal="center"/>
    </xf>
    <xf numFmtId="0" fontId="16" fillId="0" borderId="0" xfId="0" applyFont="1" applyAlignment="1">
      <alignment horizontal="center" wrapText="1"/>
    </xf>
    <xf numFmtId="0" fontId="16" fillId="0" borderId="0" xfId="0" applyFont="1" applyAlignment="1">
      <alignment horizontal="center" shrinkToFit="1"/>
    </xf>
    <xf numFmtId="0" fontId="37" fillId="0" borderId="0" xfId="0" applyFont="1" applyAlignment="1">
      <alignment horizontal="center" wrapText="1"/>
    </xf>
    <xf numFmtId="0" fontId="34" fillId="0" borderId="0" xfId="0" quotePrefix="1" applyFont="1" applyAlignment="1">
      <alignment vertical="center"/>
    </xf>
    <xf numFmtId="14" fontId="0" fillId="0" borderId="0" xfId="0" applyNumberFormat="1" applyAlignment="1">
      <alignment horizontal="center"/>
    </xf>
    <xf numFmtId="0" fontId="14" fillId="0" borderId="0" xfId="0" applyFont="1" applyAlignment="1">
      <alignment horizontal="center" vertical="center" wrapText="1"/>
    </xf>
    <xf numFmtId="165" fontId="0" fillId="0" borderId="0" xfId="0" applyNumberFormat="1" applyAlignment="1">
      <alignment horizontal="left"/>
    </xf>
    <xf numFmtId="165" fontId="0" fillId="0" borderId="0" xfId="0" applyNumberFormat="1" applyAlignment="1">
      <alignment horizontal="center"/>
    </xf>
    <xf numFmtId="165" fontId="0" fillId="0" borderId="0" xfId="0" applyNumberFormat="1"/>
    <xf numFmtId="0" fontId="14" fillId="0" borderId="0" xfId="0" applyFont="1" applyAlignment="1">
      <alignment horizontal="left"/>
    </xf>
    <xf numFmtId="0" fontId="59" fillId="0" borderId="0" xfId="0" applyFont="1" applyAlignment="1">
      <alignment horizontal="left"/>
    </xf>
    <xf numFmtId="0" fontId="21" fillId="0" borderId="0" xfId="0" applyFont="1" applyAlignment="1">
      <alignment vertical="top"/>
    </xf>
    <xf numFmtId="0" fontId="19" fillId="0" borderId="0" xfId="0" applyFont="1" applyAlignment="1">
      <alignment horizontal="left" vertical="center"/>
    </xf>
    <xf numFmtId="0" fontId="19" fillId="0" borderId="0" xfId="0" applyFont="1" applyAlignment="1">
      <alignment vertical="center"/>
    </xf>
    <xf numFmtId="0" fontId="19" fillId="0" borderId="26" xfId="0" applyFont="1" applyBorder="1" applyAlignment="1">
      <alignment vertical="center"/>
    </xf>
    <xf numFmtId="0" fontId="19" fillId="0" borderId="1" xfId="0" applyFont="1" applyBorder="1" applyAlignment="1">
      <alignment vertical="center"/>
    </xf>
    <xf numFmtId="0" fontId="15" fillId="0" borderId="1" xfId="0" applyFont="1" applyBorder="1" applyAlignment="1">
      <alignment vertical="center"/>
    </xf>
    <xf numFmtId="0" fontId="15" fillId="0" borderId="27" xfId="0" applyFont="1" applyBorder="1" applyAlignment="1">
      <alignment vertical="center"/>
    </xf>
    <xf numFmtId="0" fontId="15" fillId="0" borderId="29" xfId="0" applyFont="1" applyBorder="1" applyAlignment="1">
      <alignment vertical="center"/>
    </xf>
    <xf numFmtId="0" fontId="19" fillId="0" borderId="23" xfId="0" applyFont="1" applyBorder="1" applyAlignment="1">
      <alignment vertical="center"/>
    </xf>
    <xf numFmtId="0" fontId="15" fillId="0" borderId="23" xfId="0" applyFont="1" applyBorder="1" applyAlignment="1">
      <alignment vertical="center"/>
    </xf>
    <xf numFmtId="0" fontId="15" fillId="0" borderId="28" xfId="0" applyFont="1" applyBorder="1" applyAlignment="1">
      <alignment vertical="center"/>
    </xf>
    <xf numFmtId="0" fontId="19" fillId="0" borderId="21" xfId="0" applyFont="1" applyBorder="1" applyAlignment="1">
      <alignment vertical="center"/>
    </xf>
    <xf numFmtId="0" fontId="19" fillId="0" borderId="22" xfId="0" applyFont="1" applyBorder="1" applyAlignment="1">
      <alignment vertical="center"/>
    </xf>
    <xf numFmtId="0" fontId="15" fillId="0" borderId="24" xfId="0" applyFont="1" applyBorder="1" applyAlignment="1" applyProtection="1">
      <alignment vertical="center"/>
      <protection locked="0"/>
    </xf>
    <xf numFmtId="0" fontId="19" fillId="0" borderId="29" xfId="0" applyFont="1" applyBorder="1" applyAlignment="1">
      <alignment vertical="center"/>
    </xf>
    <xf numFmtId="0" fontId="15" fillId="0" borderId="0" xfId="0" applyFont="1" applyAlignment="1">
      <alignment horizontal="left" vertical="center"/>
    </xf>
    <xf numFmtId="0" fontId="15" fillId="0" borderId="23" xfId="0" applyFont="1" applyBorder="1" applyAlignment="1">
      <alignment horizontal="left" vertical="center"/>
    </xf>
    <xf numFmtId="0" fontId="15" fillId="0" borderId="23" xfId="0" applyFont="1" applyBorder="1" applyAlignment="1">
      <alignment horizontal="center" vertical="center"/>
    </xf>
    <xf numFmtId="0" fontId="32" fillId="0" borderId="23" xfId="0" applyFont="1" applyBorder="1" applyAlignment="1">
      <alignment vertical="top" shrinkToFit="1"/>
    </xf>
    <xf numFmtId="0" fontId="62" fillId="0" borderId="0" xfId="0" applyFont="1"/>
    <xf numFmtId="0" fontId="32" fillId="0" borderId="0" xfId="0" applyFont="1" applyAlignment="1">
      <alignment horizontal="right"/>
    </xf>
    <xf numFmtId="0" fontId="63" fillId="0" borderId="0" xfId="0" applyFont="1" applyAlignment="1">
      <alignment horizontal="left"/>
    </xf>
    <xf numFmtId="0" fontId="2" fillId="0" borderId="0" xfId="0" applyFont="1"/>
    <xf numFmtId="0" fontId="28" fillId="0" borderId="0" xfId="0" applyFont="1" applyAlignment="1">
      <alignment horizontal="right" indent="1"/>
    </xf>
    <xf numFmtId="9" fontId="28" fillId="0" borderId="50" xfId="0" applyNumberFormat="1" applyFont="1" applyBorder="1" applyAlignment="1">
      <alignment horizontal="center" vertical="center"/>
    </xf>
    <xf numFmtId="0" fontId="33" fillId="0" borderId="0" xfId="0" applyFont="1"/>
    <xf numFmtId="0" fontId="65" fillId="0" borderId="0" xfId="0" applyFont="1" applyAlignment="1">
      <alignment horizontal="right" indent="1"/>
    </xf>
    <xf numFmtId="0" fontId="66" fillId="0" borderId="0" xfId="0" applyFont="1" applyAlignment="1">
      <alignment horizontal="left" indent="1"/>
    </xf>
    <xf numFmtId="0" fontId="2" fillId="0" borderId="0" xfId="0" applyFont="1" applyAlignment="1">
      <alignment vertical="top"/>
    </xf>
    <xf numFmtId="0" fontId="2" fillId="0" borderId="0" xfId="0" applyFont="1" applyAlignment="1">
      <alignment horizontal="center" vertical="top"/>
    </xf>
    <xf numFmtId="0" fontId="28" fillId="0" borderId="13" xfId="0" applyFont="1" applyBorder="1" applyAlignment="1">
      <alignment horizontal="center" vertical="center"/>
    </xf>
    <xf numFmtId="0" fontId="28" fillId="0" borderId="15" xfId="0" applyFont="1" applyBorder="1" applyAlignment="1">
      <alignment horizontal="center" vertical="center"/>
    </xf>
    <xf numFmtId="0" fontId="0" fillId="0" borderId="0" xfId="0" applyAlignment="1">
      <alignment horizontal="left" vertical="center"/>
    </xf>
    <xf numFmtId="0" fontId="0" fillId="0" borderId="0" xfId="0" applyAlignment="1">
      <alignment horizontal="left" wrapText="1"/>
    </xf>
    <xf numFmtId="0" fontId="46" fillId="0" borderId="0" xfId="0" applyFont="1" applyAlignment="1">
      <alignment horizontal="left" vertical="center"/>
    </xf>
    <xf numFmtId="0" fontId="4" fillId="0" borderId="0" xfId="0" applyFont="1"/>
    <xf numFmtId="0" fontId="4" fillId="0" borderId="0" xfId="0" applyFont="1" applyAlignment="1">
      <alignment horizontal="left" wrapText="1"/>
    </xf>
    <xf numFmtId="0" fontId="3" fillId="0" borderId="0" xfId="0" applyFont="1" applyAlignment="1">
      <alignment horizontal="right"/>
    </xf>
    <xf numFmtId="0" fontId="3" fillId="0" borderId="0" xfId="0" applyFont="1" applyAlignment="1">
      <alignment horizontal="right" wrapText="1"/>
    </xf>
    <xf numFmtId="0" fontId="0" fillId="0" borderId="3" xfId="0" applyBorder="1" applyAlignment="1" applyProtection="1">
      <alignment horizontal="center" vertical="center"/>
      <protection locked="0"/>
    </xf>
    <xf numFmtId="0" fontId="0" fillId="0" borderId="3" xfId="0" applyBorder="1" applyAlignment="1">
      <alignment horizontal="center" vertical="center"/>
    </xf>
    <xf numFmtId="0" fontId="0" fillId="0" borderId="0" xfId="0" applyAlignment="1" applyProtection="1">
      <alignment horizontal="center" vertical="center" wrapText="1"/>
      <protection locked="0"/>
    </xf>
    <xf numFmtId="49" fontId="18" fillId="0" borderId="13" xfId="0" applyNumberFormat="1" applyFont="1" applyBorder="1" applyAlignment="1" applyProtection="1">
      <alignment horizontal="left" vertical="center" indent="1" shrinkToFit="1"/>
      <protection locked="0"/>
    </xf>
    <xf numFmtId="0" fontId="21" fillId="0" borderId="0" xfId="0" applyFont="1" applyAlignment="1">
      <alignment vertical="center"/>
    </xf>
    <xf numFmtId="0" fontId="0" fillId="0" borderId="0" xfId="0" applyAlignment="1">
      <alignment horizontal="left" vertical="center" wrapText="1"/>
    </xf>
    <xf numFmtId="0" fontId="46" fillId="0" borderId="0" xfId="0" applyFont="1" applyAlignment="1">
      <alignment horizontal="left" vertical="center" wrapText="1"/>
    </xf>
    <xf numFmtId="14" fontId="0" fillId="0" borderId="0" xfId="0" applyNumberFormat="1" applyProtection="1">
      <protection locked="0"/>
    </xf>
    <xf numFmtId="0" fontId="13" fillId="0" borderId="0" xfId="0" applyFont="1"/>
    <xf numFmtId="0" fontId="21" fillId="0" borderId="0" xfId="0" applyFont="1"/>
    <xf numFmtId="0" fontId="15" fillId="0" borderId="67" xfId="0" applyFont="1" applyBorder="1" applyAlignment="1">
      <alignment horizontal="center"/>
    </xf>
    <xf numFmtId="0" fontId="70" fillId="9" borderId="14" xfId="0" applyFont="1" applyFill="1" applyBorder="1" applyAlignment="1">
      <alignment horizontal="center" vertical="center"/>
    </xf>
    <xf numFmtId="0" fontId="70" fillId="9" borderId="15" xfId="0" applyFont="1" applyFill="1" applyBorder="1" applyAlignment="1">
      <alignment horizontal="left" vertical="center"/>
    </xf>
    <xf numFmtId="0" fontId="15" fillId="0" borderId="16" xfId="0" applyFont="1" applyBorder="1" applyAlignment="1">
      <alignment horizontal="center"/>
    </xf>
    <xf numFmtId="0" fontId="70" fillId="9" borderId="3" xfId="0" applyFont="1" applyFill="1" applyBorder="1" applyAlignment="1">
      <alignment horizontal="center" vertical="center"/>
    </xf>
    <xf numFmtId="0" fontId="70" fillId="9" borderId="18" xfId="0" applyFont="1" applyFill="1" applyBorder="1" applyAlignment="1">
      <alignment horizontal="left" vertical="center" wrapText="1"/>
    </xf>
    <xf numFmtId="0" fontId="70" fillId="9" borderId="18" xfId="0" applyFont="1" applyFill="1" applyBorder="1" applyAlignment="1">
      <alignment horizontal="left" vertical="center"/>
    </xf>
    <xf numFmtId="0" fontId="15" fillId="0" borderId="34" xfId="0" applyFont="1" applyBorder="1" applyAlignment="1">
      <alignment horizontal="center"/>
    </xf>
    <xf numFmtId="0" fontId="70" fillId="9" borderId="24" xfId="0" applyFont="1" applyFill="1" applyBorder="1" applyAlignment="1">
      <alignment horizontal="center" vertical="center"/>
    </xf>
    <xf numFmtId="0" fontId="70" fillId="9" borderId="25" xfId="0" applyFont="1" applyFill="1" applyBorder="1" applyAlignment="1">
      <alignment horizontal="left" vertical="center"/>
    </xf>
    <xf numFmtId="0" fontId="15" fillId="0" borderId="12" xfId="0" applyFont="1" applyBorder="1" applyAlignment="1">
      <alignment horizontal="center"/>
    </xf>
    <xf numFmtId="0" fontId="19" fillId="0" borderId="13" xfId="0" applyFont="1" applyBorder="1" applyAlignment="1">
      <alignment horizontal="center" vertical="center"/>
    </xf>
    <xf numFmtId="0" fontId="19" fillId="0" borderId="15" xfId="0" applyFont="1" applyBorder="1" applyAlignment="1">
      <alignment horizontal="left" vertical="center" wrapText="1"/>
    </xf>
    <xf numFmtId="0" fontId="19" fillId="0" borderId="3" xfId="0" applyFont="1" applyBorder="1" applyAlignment="1">
      <alignment horizontal="center" vertical="center"/>
    </xf>
    <xf numFmtId="0" fontId="19" fillId="0" borderId="18" xfId="0" applyFont="1" applyBorder="1" applyAlignment="1">
      <alignment horizontal="left" vertical="center" wrapText="1"/>
    </xf>
    <xf numFmtId="0" fontId="19" fillId="0" borderId="18" xfId="0" applyFont="1" applyBorder="1" applyAlignment="1">
      <alignment horizontal="left" vertical="center"/>
    </xf>
    <xf numFmtId="0" fontId="19" fillId="0" borderId="24" xfId="0" applyFont="1" applyBorder="1" applyAlignment="1">
      <alignment horizontal="center" vertical="center"/>
    </xf>
    <xf numFmtId="0" fontId="19" fillId="0" borderId="25" xfId="0" applyFont="1" applyBorder="1" applyAlignment="1">
      <alignment horizontal="left" vertical="center" wrapText="1"/>
    </xf>
    <xf numFmtId="0" fontId="19" fillId="0" borderId="15" xfId="0" applyFont="1" applyBorder="1" applyAlignment="1">
      <alignment horizontal="left" vertical="center"/>
    </xf>
    <xf numFmtId="0" fontId="15" fillId="0" borderId="0" xfId="0" applyFont="1" applyAlignment="1">
      <alignment horizontal="left" indent="1"/>
    </xf>
    <xf numFmtId="0" fontId="71" fillId="0" borderId="0" xfId="0" applyFont="1" applyAlignment="1">
      <alignment horizontal="center"/>
    </xf>
    <xf numFmtId="0" fontId="72" fillId="0" borderId="0" xfId="0" applyFont="1"/>
    <xf numFmtId="0" fontId="72" fillId="0" borderId="0" xfId="0" applyFont="1" applyAlignment="1">
      <alignment vertical="center"/>
    </xf>
    <xf numFmtId="0" fontId="71" fillId="0" borderId="0" xfId="0" applyFont="1" applyAlignment="1">
      <alignment horizontal="left"/>
    </xf>
    <xf numFmtId="0" fontId="25" fillId="0" borderId="0" xfId="0" applyFont="1" applyAlignment="1">
      <alignment vertical="center" wrapText="1"/>
    </xf>
    <xf numFmtId="0" fontId="25" fillId="0" borderId="0" xfId="0" applyFont="1" applyAlignment="1">
      <alignment vertical="top"/>
    </xf>
    <xf numFmtId="0" fontId="18" fillId="0" borderId="3" xfId="0" applyFont="1" applyBorder="1" applyAlignment="1" applyProtection="1">
      <alignment horizontal="left" vertical="center" indent="1"/>
      <protection locked="0"/>
    </xf>
    <xf numFmtId="0" fontId="17" fillId="0" borderId="16" xfId="0" applyFont="1" applyBorder="1" applyAlignment="1">
      <alignment horizontal="right" vertical="center"/>
    </xf>
    <xf numFmtId="0" fontId="16" fillId="0" borderId="4" xfId="0" applyFont="1" applyBorder="1" applyAlignment="1">
      <alignment horizontal="right" vertical="center" indent="1"/>
    </xf>
    <xf numFmtId="0" fontId="16" fillId="0" borderId="37" xfId="0" applyFont="1" applyBorder="1" applyAlignment="1">
      <alignment horizontal="right" vertical="center" indent="1"/>
    </xf>
    <xf numFmtId="0" fontId="14" fillId="0" borderId="19" xfId="0" applyFont="1" applyBorder="1" applyAlignment="1">
      <alignment horizontal="right" vertical="center" indent="1"/>
    </xf>
    <xf numFmtId="0" fontId="16" fillId="0" borderId="31" xfId="0" applyFont="1" applyBorder="1" applyAlignment="1">
      <alignment vertical="center"/>
    </xf>
    <xf numFmtId="0" fontId="16" fillId="0" borderId="61" xfId="0" applyFont="1" applyBorder="1" applyAlignment="1">
      <alignment vertical="center"/>
    </xf>
    <xf numFmtId="0" fontId="16" fillId="0" borderId="20" xfId="0" applyFont="1" applyBorder="1" applyAlignment="1">
      <alignment vertical="center"/>
    </xf>
    <xf numFmtId="0" fontId="16" fillId="0" borderId="60" xfId="0" applyFont="1" applyBorder="1" applyAlignment="1">
      <alignment vertical="center"/>
    </xf>
    <xf numFmtId="0" fontId="16" fillId="0" borderId="53" xfId="0" applyFont="1" applyBorder="1" applyAlignment="1">
      <alignment vertical="center"/>
    </xf>
    <xf numFmtId="0" fontId="14" fillId="0" borderId="51" xfId="0" applyFont="1" applyBorder="1" applyAlignment="1">
      <alignment vertical="center"/>
    </xf>
    <xf numFmtId="0" fontId="14" fillId="0" borderId="19" xfId="0" applyFont="1" applyBorder="1" applyAlignment="1">
      <alignment vertical="center"/>
    </xf>
    <xf numFmtId="0" fontId="14" fillId="0" borderId="39" xfId="0" applyFont="1" applyBorder="1" applyAlignment="1">
      <alignment vertical="center"/>
    </xf>
    <xf numFmtId="0" fontId="14" fillId="0" borderId="53" xfId="0" applyFont="1" applyBorder="1" applyAlignment="1">
      <alignment vertical="center"/>
    </xf>
    <xf numFmtId="0" fontId="16" fillId="0" borderId="39" xfId="0" applyFont="1" applyBorder="1" applyAlignment="1">
      <alignment vertical="center"/>
    </xf>
    <xf numFmtId="0" fontId="16" fillId="0" borderId="41" xfId="0" applyFont="1" applyBorder="1" applyAlignment="1">
      <alignment horizontal="right" vertical="center" indent="1"/>
    </xf>
    <xf numFmtId="165" fontId="15" fillId="0" borderId="58"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24" fillId="0" borderId="0" xfId="0" applyFont="1" applyAlignment="1">
      <alignment vertical="center"/>
    </xf>
    <xf numFmtId="0" fontId="58" fillId="0" borderId="0" xfId="0" applyFont="1"/>
    <xf numFmtId="10" fontId="0" fillId="2" borderId="10" xfId="1" applyNumberFormat="1" applyFont="1" applyFill="1" applyBorder="1" applyAlignment="1" applyProtection="1">
      <alignment horizontal="center" vertical="center" wrapText="1"/>
    </xf>
    <xf numFmtId="0" fontId="74" fillId="0" borderId="0" xfId="0" applyFont="1" applyAlignment="1">
      <alignment horizontal="center" vertical="center" wrapText="1"/>
    </xf>
    <xf numFmtId="0" fontId="0" fillId="10" borderId="5" xfId="0" applyFill="1" applyBorder="1" applyAlignment="1">
      <alignment vertical="center" wrapText="1"/>
    </xf>
    <xf numFmtId="0" fontId="0" fillId="10" borderId="7" xfId="0" applyFill="1" applyBorder="1" applyAlignment="1">
      <alignment horizontal="center" vertical="center" wrapText="1"/>
    </xf>
    <xf numFmtId="10" fontId="0" fillId="10" borderId="10" xfId="1" applyNumberFormat="1" applyFont="1" applyFill="1" applyBorder="1" applyAlignment="1">
      <alignment horizontal="center" vertical="center" wrapText="1"/>
    </xf>
    <xf numFmtId="0" fontId="0" fillId="10" borderId="3" xfId="0" applyFill="1" applyBorder="1" applyAlignment="1">
      <alignment horizontal="center" vertical="center" wrapText="1"/>
    </xf>
    <xf numFmtId="0" fontId="0" fillId="10" borderId="3" xfId="0" applyFill="1" applyBorder="1" applyAlignment="1">
      <alignment vertical="top" wrapText="1"/>
    </xf>
    <xf numFmtId="0" fontId="0" fillId="10" borderId="5" xfId="0" applyFill="1" applyBorder="1" applyAlignment="1">
      <alignment horizontal="center" vertical="center" wrapText="1"/>
    </xf>
    <xf numFmtId="10" fontId="0" fillId="10" borderId="3" xfId="1" applyNumberFormat="1" applyFont="1" applyFill="1" applyBorder="1" applyAlignment="1">
      <alignment horizontal="center" vertical="center" wrapText="1"/>
    </xf>
    <xf numFmtId="0" fontId="0" fillId="10" borderId="11" xfId="0" applyFill="1" applyBorder="1" applyAlignment="1">
      <alignment horizontal="center" vertical="center" wrapText="1"/>
    </xf>
    <xf numFmtId="0" fontId="74" fillId="0" borderId="0" xfId="0" applyFont="1" applyAlignment="1">
      <alignment vertical="top" wrapText="1"/>
    </xf>
    <xf numFmtId="0" fontId="46" fillId="0" borderId="0" xfId="0" applyFont="1" applyAlignment="1">
      <alignment horizontal="left"/>
    </xf>
    <xf numFmtId="0" fontId="0" fillId="10" borderId="3" xfId="0" applyFill="1" applyBorder="1" applyAlignment="1">
      <alignment vertical="center" wrapText="1"/>
    </xf>
    <xf numFmtId="0" fontId="5" fillId="10" borderId="3" xfId="0" applyFont="1" applyFill="1" applyBorder="1" applyAlignment="1">
      <alignment vertical="center" wrapText="1"/>
    </xf>
    <xf numFmtId="0" fontId="5" fillId="10" borderId="3" xfId="0" applyFont="1" applyFill="1" applyBorder="1" applyAlignment="1">
      <alignment horizontal="center" vertical="center" wrapText="1"/>
    </xf>
    <xf numFmtId="10" fontId="5" fillId="10" borderId="3" xfId="1" applyNumberFormat="1" applyFont="1" applyFill="1" applyBorder="1" applyAlignment="1">
      <alignment horizontal="center" vertical="center" wrapText="1"/>
    </xf>
    <xf numFmtId="0" fontId="4" fillId="10" borderId="3" xfId="0" applyFont="1" applyFill="1" applyBorder="1" applyAlignment="1">
      <alignment horizontal="center" vertical="center" wrapText="1"/>
    </xf>
    <xf numFmtId="0" fontId="28" fillId="0" borderId="3" xfId="0" applyFont="1" applyBorder="1" applyAlignment="1">
      <alignment horizontal="center" vertical="top" wrapText="1"/>
    </xf>
    <xf numFmtId="0" fontId="28" fillId="0" borderId="11" xfId="0" applyFont="1" applyBorder="1" applyAlignment="1">
      <alignment horizontal="center" vertical="top" wrapText="1"/>
    </xf>
    <xf numFmtId="0" fontId="16" fillId="0" borderId="13" xfId="0" applyFont="1" applyBorder="1" applyAlignment="1">
      <alignment horizontal="right" vertical="center"/>
    </xf>
    <xf numFmtId="0" fontId="16" fillId="0" borderId="4" xfId="0" applyFont="1" applyBorder="1" applyAlignment="1">
      <alignment horizontal="right" vertical="center"/>
    </xf>
    <xf numFmtId="0" fontId="21" fillId="0" borderId="53" xfId="0" applyFont="1" applyBorder="1" applyAlignment="1">
      <alignment horizontal="center" vertical="top"/>
    </xf>
    <xf numFmtId="0" fontId="21" fillId="0" borderId="23" xfId="0" applyFont="1" applyBorder="1" applyAlignment="1">
      <alignment horizontal="center" vertical="top"/>
    </xf>
    <xf numFmtId="0" fontId="21" fillId="0" borderId="28" xfId="0" applyFont="1" applyBorder="1" applyAlignment="1">
      <alignment horizontal="center" vertical="top"/>
    </xf>
    <xf numFmtId="0" fontId="24" fillId="0" borderId="0" xfId="0" applyFont="1" applyAlignment="1">
      <alignment horizontal="right" vertical="center"/>
    </xf>
    <xf numFmtId="0" fontId="24" fillId="0" borderId="59" xfId="0" applyFont="1" applyBorder="1" applyAlignment="1">
      <alignment horizontal="right" vertical="center"/>
    </xf>
    <xf numFmtId="0" fontId="16" fillId="0" borderId="0" xfId="0" applyFont="1" applyAlignment="1">
      <alignment horizontal="right" vertical="center"/>
    </xf>
    <xf numFmtId="0" fontId="28" fillId="0" borderId="30" xfId="0" applyFont="1" applyBorder="1" applyAlignment="1">
      <alignment horizontal="center" vertical="center"/>
    </xf>
    <xf numFmtId="0" fontId="3" fillId="0" borderId="0" xfId="0" applyFont="1" applyAlignment="1">
      <alignment horizontal="right" vertical="center" wrapText="1"/>
    </xf>
    <xf numFmtId="0" fontId="3" fillId="0" borderId="0" xfId="0" applyFont="1" applyAlignment="1">
      <alignment horizontal="right" vertical="center"/>
    </xf>
    <xf numFmtId="0" fontId="3" fillId="2" borderId="10" xfId="0" applyFont="1" applyFill="1" applyBorder="1" applyAlignment="1">
      <alignment horizontal="left" vertical="center"/>
    </xf>
    <xf numFmtId="0" fontId="0" fillId="2" borderId="10" xfId="0" applyFill="1" applyBorder="1" applyAlignment="1">
      <alignment horizontal="left" vertical="top" wrapText="1"/>
    </xf>
    <xf numFmtId="0" fontId="3" fillId="2" borderId="3" xfId="0" applyFont="1" applyFill="1" applyBorder="1" applyAlignment="1">
      <alignment horizontal="left" vertical="center"/>
    </xf>
    <xf numFmtId="0" fontId="0" fillId="2" borderId="3" xfId="0" applyFill="1" applyBorder="1" applyAlignment="1">
      <alignment vertical="top" wrapText="1"/>
    </xf>
    <xf numFmtId="0" fontId="0" fillId="2" borderId="3" xfId="0" applyFill="1" applyBorder="1" applyAlignment="1">
      <alignment horizontal="left" vertical="top" wrapText="1"/>
    </xf>
    <xf numFmtId="0" fontId="0" fillId="2" borderId="3" xfId="0" applyFill="1" applyBorder="1" applyAlignment="1">
      <alignment horizontal="left" vertical="center" wrapText="1"/>
    </xf>
    <xf numFmtId="0" fontId="28" fillId="0" borderId="68" xfId="0" applyFont="1" applyBorder="1" applyAlignment="1">
      <alignment horizontal="left" vertical="top" wrapText="1"/>
    </xf>
    <xf numFmtId="0" fontId="28" fillId="0" borderId="45" xfId="0" applyFont="1" applyBorder="1" applyAlignment="1">
      <alignment horizontal="left" vertical="top" wrapText="1"/>
    </xf>
    <xf numFmtId="0" fontId="28" fillId="0" borderId="3" xfId="0" applyFont="1" applyBorder="1" applyAlignment="1">
      <alignment horizontal="right" vertical="top" wrapText="1"/>
    </xf>
    <xf numFmtId="0" fontId="28" fillId="0" borderId="17" xfId="0" applyFont="1" applyBorder="1" applyAlignment="1">
      <alignment horizontal="right" vertical="top" wrapText="1"/>
    </xf>
    <xf numFmtId="0" fontId="28" fillId="0" borderId="10" xfId="0" applyFont="1" applyBorder="1" applyAlignment="1">
      <alignment horizontal="right" vertical="top" wrapText="1"/>
    </xf>
    <xf numFmtId="0" fontId="28" fillId="0" borderId="12" xfId="0" applyFont="1" applyBorder="1" applyAlignment="1">
      <alignment horizontal="center" vertical="center"/>
    </xf>
    <xf numFmtId="0" fontId="65" fillId="0" borderId="0" xfId="0" applyFont="1" applyAlignment="1">
      <alignment horizontal="right"/>
    </xf>
    <xf numFmtId="0" fontId="15" fillId="0" borderId="24" xfId="0" applyFont="1" applyBorder="1" applyAlignment="1">
      <alignment horizontal="center" vertical="center"/>
    </xf>
    <xf numFmtId="1" fontId="15" fillId="0" borderId="0" xfId="0" applyNumberFormat="1" applyFont="1" applyAlignment="1">
      <alignment vertical="center"/>
    </xf>
    <xf numFmtId="1" fontId="14" fillId="0" borderId="0" xfId="0" applyNumberFormat="1" applyFont="1" applyAlignment="1">
      <alignment vertical="center"/>
    </xf>
    <xf numFmtId="22" fontId="0" fillId="0" borderId="0" xfId="0" applyNumberFormat="1" applyProtection="1">
      <protection locked="0"/>
    </xf>
    <xf numFmtId="0" fontId="28" fillId="0" borderId="0" xfId="0" applyFont="1"/>
    <xf numFmtId="0" fontId="66" fillId="0" borderId="0" xfId="0" applyFont="1" applyAlignment="1" applyProtection="1">
      <alignment horizontal="left" indent="1"/>
      <protection locked="0"/>
    </xf>
    <xf numFmtId="0" fontId="72" fillId="0" borderId="0" xfId="0" applyFont="1" applyAlignment="1">
      <alignment horizontal="left" vertical="center"/>
    </xf>
    <xf numFmtId="0" fontId="53" fillId="0" borderId="22" xfId="0" applyFont="1" applyBorder="1" applyAlignment="1">
      <alignment vertical="center" wrapText="1"/>
    </xf>
    <xf numFmtId="0" fontId="53" fillId="0" borderId="23" xfId="0" applyFont="1" applyBorder="1" applyAlignment="1">
      <alignment vertical="center" wrapText="1"/>
    </xf>
    <xf numFmtId="0" fontId="53" fillId="0" borderId="28" xfId="0" applyFont="1" applyBorder="1" applyAlignment="1">
      <alignment vertical="center" wrapText="1"/>
    </xf>
    <xf numFmtId="0" fontId="28" fillId="7" borderId="28" xfId="0" applyFont="1" applyFill="1" applyBorder="1" applyAlignment="1">
      <alignment horizontal="center" vertical="center" wrapText="1"/>
    </xf>
    <xf numFmtId="0" fontId="76" fillId="0" borderId="0" xfId="3" applyFont="1" applyAlignment="1">
      <alignment horizontal="right" vertical="center"/>
    </xf>
    <xf numFmtId="168" fontId="0" fillId="0" borderId="0" xfId="0" applyNumberFormat="1" applyAlignment="1">
      <alignment horizontal="left"/>
    </xf>
    <xf numFmtId="168" fontId="0" fillId="0" borderId="0" xfId="1" applyNumberFormat="1" applyFont="1" applyAlignment="1">
      <alignment horizontal="center"/>
    </xf>
    <xf numFmtId="168" fontId="0" fillId="0" borderId="0" xfId="0" applyNumberFormat="1" applyAlignment="1">
      <alignment horizontal="center"/>
    </xf>
    <xf numFmtId="165" fontId="3" fillId="0" borderId="0" xfId="0" applyNumberFormat="1" applyFont="1" applyAlignment="1">
      <alignment horizontal="center"/>
    </xf>
    <xf numFmtId="0" fontId="0" fillId="0" borderId="0" xfId="0" applyAlignment="1">
      <alignment vertical="top"/>
    </xf>
    <xf numFmtId="165" fontId="3" fillId="0" borderId="0" xfId="0" applyNumberFormat="1" applyFont="1" applyAlignment="1">
      <alignment horizontal="center" vertical="top"/>
    </xf>
    <xf numFmtId="0" fontId="3" fillId="0" borderId="0" xfId="0" applyFont="1" applyAlignment="1">
      <alignment horizontal="center" vertical="top"/>
    </xf>
    <xf numFmtId="0" fontId="0" fillId="0" borderId="0" xfId="0" applyAlignment="1">
      <alignment horizontal="center" vertical="top"/>
    </xf>
    <xf numFmtId="165" fontId="0" fillId="0" borderId="0" xfId="0" applyNumberFormat="1" applyAlignment="1">
      <alignment horizontal="center" vertical="top"/>
    </xf>
    <xf numFmtId="1" fontId="0" fillId="0" borderId="0" xfId="0" applyNumberFormat="1" applyAlignment="1">
      <alignment horizontal="center"/>
    </xf>
    <xf numFmtId="0" fontId="3" fillId="0" borderId="0" xfId="0" applyFont="1" applyAlignment="1">
      <alignment horizontal="left"/>
    </xf>
    <xf numFmtId="0" fontId="46" fillId="0" borderId="0" xfId="0" applyFont="1" applyAlignment="1">
      <alignment vertical="top"/>
    </xf>
    <xf numFmtId="0" fontId="78" fillId="0" borderId="23" xfId="0" applyFont="1" applyBorder="1" applyAlignment="1">
      <alignment horizontal="center" vertical="top"/>
    </xf>
    <xf numFmtId="0" fontId="0" fillId="0" borderId="63" xfId="0" applyBorder="1" applyAlignment="1">
      <alignment vertical="top" wrapText="1"/>
    </xf>
    <xf numFmtId="0" fontId="10" fillId="0" borderId="66" xfId="0" applyFont="1" applyBorder="1" applyAlignment="1">
      <alignment vertical="top" wrapText="1"/>
    </xf>
    <xf numFmtId="0" fontId="10" fillId="0" borderId="69" xfId="0" applyFont="1" applyBorder="1" applyAlignment="1">
      <alignment vertical="top" wrapText="1"/>
    </xf>
    <xf numFmtId="0" fontId="54" fillId="0" borderId="63" xfId="0" applyFont="1" applyBorder="1" applyAlignment="1">
      <alignment vertical="top" wrapText="1"/>
    </xf>
    <xf numFmtId="0" fontId="54" fillId="0" borderId="66" xfId="0" applyFont="1" applyBorder="1" applyAlignment="1">
      <alignment vertical="top" wrapText="1"/>
    </xf>
    <xf numFmtId="0" fontId="54" fillId="0" borderId="69" xfId="0" applyFont="1" applyBorder="1" applyAlignment="1">
      <alignment vertical="top" wrapText="1"/>
    </xf>
    <xf numFmtId="0" fontId="44" fillId="0" borderId="13" xfId="0" applyFont="1" applyBorder="1" applyAlignment="1">
      <alignment vertical="top" wrapText="1"/>
    </xf>
    <xf numFmtId="0" fontId="44" fillId="0" borderId="13" xfId="0" applyFont="1" applyBorder="1" applyAlignment="1">
      <alignment horizontal="left" vertical="top" wrapText="1"/>
    </xf>
    <xf numFmtId="0" fontId="44" fillId="0" borderId="3" xfId="0" applyFont="1" applyBorder="1" applyAlignment="1">
      <alignment vertical="top" wrapText="1"/>
    </xf>
    <xf numFmtId="0" fontId="44" fillId="0" borderId="3" xfId="0" applyFont="1" applyBorder="1" applyAlignment="1">
      <alignment horizontal="left" vertical="top" wrapText="1"/>
    </xf>
    <xf numFmtId="0" fontId="44" fillId="0" borderId="24" xfId="0" applyFont="1" applyBorder="1" applyAlignment="1">
      <alignment vertical="top" wrapText="1"/>
    </xf>
    <xf numFmtId="0" fontId="79" fillId="0" borderId="0" xfId="0" applyFont="1"/>
    <xf numFmtId="0" fontId="80" fillId="0" borderId="0" xfId="0" applyFont="1" applyAlignment="1">
      <alignment horizontal="left"/>
    </xf>
    <xf numFmtId="0" fontId="80" fillId="0" borderId="0" xfId="0" applyFont="1" applyAlignment="1">
      <alignment horizontal="right" indent="1"/>
    </xf>
    <xf numFmtId="0" fontId="80" fillId="0" borderId="0" xfId="0" applyFont="1" applyAlignment="1">
      <alignment horizontal="left" indent="1"/>
    </xf>
    <xf numFmtId="0" fontId="1" fillId="0" borderId="0" xfId="2" applyFont="1"/>
    <xf numFmtId="0" fontId="16" fillId="11" borderId="2" xfId="0" applyFont="1" applyFill="1" applyBorder="1" applyAlignment="1">
      <alignment horizontal="right" vertical="center"/>
    </xf>
    <xf numFmtId="0" fontId="0" fillId="0" borderId="4" xfId="0" quotePrefix="1" applyBorder="1" applyAlignment="1">
      <alignment horizontal="center" vertical="center" wrapText="1"/>
    </xf>
    <xf numFmtId="0" fontId="0" fillId="0" borderId="8" xfId="0" quotePrefix="1" applyBorder="1" applyAlignment="1">
      <alignment horizontal="center" vertical="center" wrapText="1"/>
    </xf>
    <xf numFmtId="0" fontId="16" fillId="9" borderId="9" xfId="0" applyFont="1" applyFill="1" applyBorder="1" applyAlignment="1">
      <alignment vertical="center"/>
    </xf>
    <xf numFmtId="0" fontId="0" fillId="0" borderId="5" xfId="0" applyBorder="1" applyAlignment="1">
      <alignment vertical="center" wrapText="1"/>
    </xf>
    <xf numFmtId="0" fontId="15" fillId="11" borderId="2" xfId="0" applyFont="1" applyFill="1" applyBorder="1"/>
    <xf numFmtId="0" fontId="15" fillId="11" borderId="0" xfId="0" applyFont="1" applyFill="1"/>
    <xf numFmtId="0" fontId="15" fillId="11" borderId="62" xfId="0" applyFont="1" applyFill="1" applyBorder="1"/>
    <xf numFmtId="0" fontId="15" fillId="0" borderId="2" xfId="0" applyFont="1" applyBorder="1"/>
    <xf numFmtId="0" fontId="16" fillId="0" borderId="25" xfId="0" applyFont="1" applyBorder="1" applyAlignment="1">
      <alignment horizontal="center" vertical="center" wrapText="1"/>
    </xf>
    <xf numFmtId="0" fontId="15" fillId="0" borderId="31" xfId="0" applyFont="1" applyBorder="1" applyAlignment="1">
      <alignment horizontal="center" vertical="center"/>
    </xf>
    <xf numFmtId="1" fontId="15" fillId="0" borderId="32" xfId="0" applyNumberFormat="1" applyFont="1" applyBorder="1" applyAlignment="1">
      <alignment horizontal="center" vertical="center"/>
    </xf>
    <xf numFmtId="1" fontId="15" fillId="0" borderId="52" xfId="0" applyNumberFormat="1" applyFont="1" applyBorder="1" applyAlignment="1">
      <alignment horizontal="center" vertical="center"/>
    </xf>
    <xf numFmtId="1" fontId="15" fillId="0" borderId="88" xfId="0" applyNumberFormat="1" applyFont="1" applyBorder="1" applyAlignment="1">
      <alignment horizontal="center" vertical="center"/>
    </xf>
    <xf numFmtId="1" fontId="15" fillId="0" borderId="89" xfId="0" applyNumberFormat="1" applyFont="1" applyBorder="1" applyAlignment="1">
      <alignment horizontal="center" vertical="center"/>
    </xf>
    <xf numFmtId="1" fontId="15" fillId="0" borderId="91" xfId="0" applyNumberFormat="1" applyFont="1" applyBorder="1" applyAlignment="1">
      <alignment horizontal="center" vertical="center"/>
    </xf>
    <xf numFmtId="1" fontId="15" fillId="0" borderId="93" xfId="0" applyNumberFormat="1" applyFont="1" applyBorder="1" applyAlignment="1">
      <alignment horizontal="center" vertical="center"/>
    </xf>
    <xf numFmtId="1" fontId="15" fillId="0" borderId="29" xfId="0" applyNumberFormat="1" applyFont="1" applyBorder="1" applyAlignment="1">
      <alignment horizontal="center" vertical="center"/>
    </xf>
    <xf numFmtId="1" fontId="15" fillId="0" borderId="96" xfId="0" applyNumberFormat="1" applyFont="1" applyBorder="1" applyAlignment="1">
      <alignment horizontal="center" vertical="center"/>
    </xf>
    <xf numFmtId="0" fontId="1" fillId="0" borderId="0" xfId="0" applyFont="1" applyAlignment="1">
      <alignment vertical="top"/>
    </xf>
    <xf numFmtId="0" fontId="1" fillId="0" borderId="0" xfId="0" applyFont="1" applyAlignment="1">
      <alignment horizontal="center" vertical="top"/>
    </xf>
    <xf numFmtId="0" fontId="1" fillId="0" borderId="0" xfId="0" applyFont="1"/>
    <xf numFmtId="0" fontId="1" fillId="0" borderId="0" xfId="0" applyFont="1" applyAlignment="1">
      <alignment horizontal="right"/>
    </xf>
    <xf numFmtId="0" fontId="1" fillId="0" borderId="0" xfId="0" applyFont="1" applyAlignment="1">
      <alignment horizontal="right" vertical="top"/>
    </xf>
    <xf numFmtId="0" fontId="1" fillId="0" borderId="10" xfId="0" applyFont="1" applyBorder="1" applyAlignment="1">
      <alignment vertical="top" wrapText="1"/>
    </xf>
    <xf numFmtId="0" fontId="1" fillId="0" borderId="10" xfId="0" applyFont="1" applyBorder="1" applyAlignment="1">
      <alignment horizontal="center" vertical="top"/>
    </xf>
    <xf numFmtId="9" fontId="1" fillId="0" borderId="57" xfId="1" applyFont="1" applyBorder="1" applyAlignment="1">
      <alignment horizontal="center" vertical="top"/>
    </xf>
    <xf numFmtId="0" fontId="1" fillId="0" borderId="3" xfId="0" applyFont="1" applyBorder="1" applyAlignment="1">
      <alignment vertical="top" wrapText="1"/>
    </xf>
    <xf numFmtId="0" fontId="1" fillId="0" borderId="3" xfId="0" applyFont="1" applyBorder="1" applyAlignment="1">
      <alignment horizontal="center" vertical="top"/>
    </xf>
    <xf numFmtId="9" fontId="1" fillId="0" borderId="18" xfId="1" applyFont="1" applyBorder="1" applyAlignment="1">
      <alignment horizontal="center" vertical="top"/>
    </xf>
    <xf numFmtId="0" fontId="1" fillId="0" borderId="11" xfId="0" applyFont="1" applyBorder="1" applyAlignment="1">
      <alignment vertical="top" wrapText="1"/>
    </xf>
    <xf numFmtId="0" fontId="1" fillId="0" borderId="11" xfId="0" applyFont="1" applyBorder="1" applyAlignment="1">
      <alignment horizontal="center" vertical="top"/>
    </xf>
    <xf numFmtId="9" fontId="1" fillId="0" borderId="44" xfId="1" applyFont="1" applyBorder="1" applyAlignment="1">
      <alignment horizontal="center" vertical="top"/>
    </xf>
    <xf numFmtId="0" fontId="1" fillId="0" borderId="63" xfId="0" applyFont="1" applyBorder="1" applyAlignment="1">
      <alignment vertical="top" wrapText="1"/>
    </xf>
    <xf numFmtId="0" fontId="1" fillId="0" borderId="66" xfId="0" applyFont="1" applyBorder="1" applyAlignment="1">
      <alignment vertical="top" wrapText="1"/>
    </xf>
    <xf numFmtId="0" fontId="1" fillId="0" borderId="69" xfId="0" applyFont="1" applyBorder="1" applyAlignment="1">
      <alignment vertical="top" wrapText="1"/>
    </xf>
    <xf numFmtId="0" fontId="1" fillId="0" borderId="26" xfId="0" applyFont="1" applyBorder="1" applyAlignment="1">
      <alignment vertical="top" wrapText="1"/>
    </xf>
    <xf numFmtId="0" fontId="1" fillId="0" borderId="1" xfId="0" applyFont="1" applyBorder="1" applyAlignment="1">
      <alignment vertical="top" wrapText="1"/>
    </xf>
    <xf numFmtId="0" fontId="1" fillId="0" borderId="27" xfId="0" applyFont="1" applyBorder="1" applyAlignment="1">
      <alignment vertical="top" wrapText="1"/>
    </xf>
    <xf numFmtId="0" fontId="42" fillId="0" borderId="28" xfId="0" applyFont="1" applyBorder="1" applyAlignment="1">
      <alignment horizontal="center" vertical="center" wrapText="1"/>
    </xf>
    <xf numFmtId="0" fontId="43" fillId="0" borderId="0" xfId="0" applyFont="1" applyAlignment="1">
      <alignment vertical="center" wrapText="1"/>
    </xf>
    <xf numFmtId="165" fontId="42" fillId="0" borderId="28" xfId="0" applyNumberFormat="1" applyFont="1" applyBorder="1" applyAlignment="1">
      <alignment horizontal="center" vertical="center" wrapText="1"/>
    </xf>
    <xf numFmtId="0" fontId="42" fillId="0" borderId="28" xfId="0" quotePrefix="1" applyFont="1" applyBorder="1" applyAlignment="1">
      <alignment horizontal="center" vertical="center" wrapText="1"/>
    </xf>
    <xf numFmtId="0" fontId="12" fillId="0" borderId="0" xfId="0" applyFont="1" applyAlignment="1">
      <alignment horizontal="center"/>
    </xf>
    <xf numFmtId="0" fontId="56" fillId="0" borderId="0" xfId="0" applyFont="1" applyAlignment="1">
      <alignment horizontal="center" vertical="center"/>
    </xf>
    <xf numFmtId="1" fontId="15" fillId="0" borderId="0" xfId="0" applyNumberFormat="1" applyFont="1" applyProtection="1">
      <protection locked="0"/>
    </xf>
    <xf numFmtId="0" fontId="81" fillId="0" borderId="0" xfId="0" applyFont="1" applyAlignment="1">
      <alignment horizontal="center" vertical="top" shrinkToFit="1"/>
    </xf>
    <xf numFmtId="0" fontId="15" fillId="0" borderId="0" xfId="0" applyFont="1" applyAlignment="1">
      <alignment horizontal="center" shrinkToFit="1"/>
    </xf>
    <xf numFmtId="0" fontId="14" fillId="0" borderId="53" xfId="0" applyFont="1" applyBorder="1" applyAlignment="1">
      <alignment horizontal="right" vertical="center" indent="1"/>
    </xf>
    <xf numFmtId="0" fontId="0" fillId="0" borderId="63" xfId="0" applyBorder="1" applyAlignment="1" applyProtection="1">
      <alignment vertical="top" wrapText="1"/>
      <protection locked="0"/>
    </xf>
    <xf numFmtId="0" fontId="26" fillId="0" borderId="63" xfId="0" applyFont="1" applyBorder="1" applyAlignment="1" applyProtection="1">
      <alignment vertical="top" wrapText="1"/>
      <protection locked="0"/>
    </xf>
    <xf numFmtId="0" fontId="0" fillId="0" borderId="66" xfId="0" applyBorder="1" applyAlignment="1" applyProtection="1">
      <alignment vertical="top" wrapText="1"/>
      <protection locked="0"/>
    </xf>
    <xf numFmtId="0" fontId="26" fillId="0" borderId="66" xfId="0" applyFont="1" applyBorder="1" applyAlignment="1" applyProtection="1">
      <alignment vertical="top" wrapText="1"/>
      <protection locked="0"/>
    </xf>
    <xf numFmtId="0" fontId="10" fillId="0" borderId="66" xfId="0" applyFont="1" applyBorder="1" applyAlignment="1" applyProtection="1">
      <alignment vertical="top" wrapText="1"/>
      <protection locked="0"/>
    </xf>
    <xf numFmtId="0" fontId="10" fillId="0" borderId="69" xfId="0" applyFont="1" applyBorder="1" applyAlignment="1" applyProtection="1">
      <alignment vertical="top" wrapText="1"/>
      <protection locked="0"/>
    </xf>
    <xf numFmtId="0" fontId="26" fillId="0" borderId="69" xfId="0" applyFont="1" applyBorder="1" applyAlignment="1" applyProtection="1">
      <alignment vertical="top" wrapText="1"/>
      <protection locked="0"/>
    </xf>
    <xf numFmtId="0" fontId="55" fillId="0" borderId="63" xfId="0" applyFont="1" applyBorder="1" applyAlignment="1" applyProtection="1">
      <alignment vertical="top" wrapText="1"/>
      <protection locked="0"/>
    </xf>
    <xf numFmtId="0" fontId="55" fillId="0" borderId="66" xfId="0" applyFont="1" applyBorder="1" applyAlignment="1" applyProtection="1">
      <alignment vertical="top" wrapText="1"/>
      <protection locked="0"/>
    </xf>
    <xf numFmtId="0" fontId="55" fillId="0" borderId="69" xfId="0" applyFont="1" applyBorder="1" applyAlignment="1" applyProtection="1">
      <alignment vertical="top" wrapText="1"/>
      <protection locked="0"/>
    </xf>
    <xf numFmtId="0" fontId="15" fillId="0" borderId="10" xfId="0" applyFont="1" applyBorder="1" applyAlignment="1" applyProtection="1">
      <alignment horizontal="center" vertical="center"/>
      <protection locked="0"/>
    </xf>
    <xf numFmtId="1" fontId="15" fillId="0" borderId="4" xfId="0" applyNumberFormat="1" applyFont="1" applyBorder="1" applyAlignment="1" applyProtection="1">
      <alignment horizontal="center" vertical="center"/>
      <protection locked="0"/>
    </xf>
    <xf numFmtId="1" fontId="15" fillId="0" borderId="6" xfId="0" applyNumberFormat="1" applyFont="1" applyBorder="1" applyAlignment="1" applyProtection="1">
      <alignment horizontal="center" vertical="center"/>
      <protection locked="0"/>
    </xf>
    <xf numFmtId="1" fontId="15" fillId="0" borderId="13" xfId="0" applyNumberFormat="1" applyFont="1" applyBorder="1" applyAlignment="1" applyProtection="1">
      <alignment horizontal="center" vertical="center"/>
      <protection locked="0"/>
    </xf>
    <xf numFmtId="1" fontId="15" fillId="0" borderId="3" xfId="0" applyNumberFormat="1" applyFont="1" applyBorder="1" applyAlignment="1" applyProtection="1">
      <alignment horizontal="center" vertical="center"/>
      <protection locked="0"/>
    </xf>
    <xf numFmtId="1" fontId="22" fillId="5" borderId="3" xfId="0" applyNumberFormat="1" applyFont="1" applyFill="1" applyBorder="1" applyAlignment="1" applyProtection="1">
      <alignment horizontal="center" vertical="center"/>
      <protection locked="0"/>
    </xf>
    <xf numFmtId="1" fontId="15" fillId="0" borderId="10" xfId="0" applyNumberFormat="1" applyFont="1" applyBorder="1" applyAlignment="1" applyProtection="1">
      <alignment horizontal="center" vertical="center"/>
      <protection locked="0"/>
    </xf>
    <xf numFmtId="0" fontId="30" fillId="0" borderId="0" xfId="0" applyFont="1" applyProtection="1">
      <protection locked="0"/>
    </xf>
    <xf numFmtId="49" fontId="30" fillId="0" borderId="0" xfId="0" applyNumberFormat="1" applyFont="1" applyProtection="1">
      <protection locked="0"/>
    </xf>
    <xf numFmtId="0" fontId="15" fillId="0" borderId="5" xfId="0" applyFont="1" applyBorder="1" applyAlignment="1">
      <alignment horizontal="center" vertical="center"/>
    </xf>
    <xf numFmtId="0" fontId="15" fillId="0" borderId="35" xfId="0" applyFont="1" applyBorder="1" applyAlignment="1">
      <alignment horizontal="center" vertical="center"/>
    </xf>
    <xf numFmtId="1" fontId="15" fillId="0" borderId="37" xfId="0" applyNumberFormat="1" applyFont="1" applyBorder="1" applyAlignment="1" applyProtection="1">
      <alignment horizontal="center" vertical="center"/>
      <protection locked="0"/>
    </xf>
    <xf numFmtId="1" fontId="15" fillId="0" borderId="37" xfId="0" applyNumberFormat="1" applyFont="1" applyBorder="1" applyAlignment="1">
      <alignment horizontal="center" vertical="center"/>
    </xf>
    <xf numFmtId="1" fontId="15" fillId="0" borderId="4" xfId="0" applyNumberFormat="1" applyFont="1" applyBorder="1" applyAlignment="1">
      <alignment horizontal="center" vertical="center"/>
    </xf>
    <xf numFmtId="1" fontId="15" fillId="0" borderId="41" xfId="0" applyNumberFormat="1" applyFont="1" applyBorder="1" applyAlignment="1">
      <alignment horizontal="center" vertical="center"/>
    </xf>
    <xf numFmtId="1" fontId="15" fillId="0" borderId="3" xfId="0" applyNumberFormat="1" applyFont="1" applyBorder="1" applyAlignment="1">
      <alignment horizontal="center" vertical="center"/>
    </xf>
    <xf numFmtId="1" fontId="22" fillId="5" borderId="3" xfId="0" applyNumberFormat="1" applyFont="1" applyFill="1" applyBorder="1" applyAlignment="1">
      <alignment horizontal="center" vertical="center"/>
    </xf>
    <xf numFmtId="1" fontId="15" fillId="0" borderId="24" xfId="0" applyNumberFormat="1" applyFont="1" applyBorder="1" applyAlignment="1">
      <alignment horizontal="center" vertical="center"/>
    </xf>
    <xf numFmtId="1" fontId="15" fillId="0" borderId="13" xfId="0" applyNumberFormat="1" applyFont="1" applyBorder="1" applyAlignment="1">
      <alignment horizontal="center" vertical="center"/>
    </xf>
    <xf numFmtId="0" fontId="18" fillId="0" borderId="3" xfId="0" applyFont="1" applyBorder="1" applyAlignment="1">
      <alignment horizontal="left" vertical="center" indent="1" shrinkToFit="1"/>
    </xf>
    <xf numFmtId="1" fontId="15" fillId="0" borderId="85" xfId="0" applyNumberFormat="1" applyFont="1" applyBorder="1" applyAlignment="1" applyProtection="1">
      <alignment horizontal="center" vertical="center"/>
      <protection locked="0"/>
    </xf>
    <xf numFmtId="1" fontId="15" fillId="0" borderId="86" xfId="0" applyNumberFormat="1" applyFont="1" applyBorder="1" applyAlignment="1">
      <alignment horizontal="center" vertical="center"/>
    </xf>
    <xf numFmtId="1" fontId="15" fillId="0" borderId="94" xfId="0" applyNumberFormat="1" applyFont="1" applyBorder="1" applyAlignment="1">
      <alignment horizontal="center" vertical="center"/>
    </xf>
    <xf numFmtId="1" fontId="15" fillId="0" borderId="86" xfId="0" applyNumberFormat="1" applyFont="1" applyBorder="1" applyAlignment="1" applyProtection="1">
      <alignment horizontal="center" vertical="center"/>
      <protection locked="0"/>
    </xf>
    <xf numFmtId="1" fontId="15" fillId="0" borderId="95" xfId="0" applyNumberFormat="1" applyFont="1" applyBorder="1" applyAlignment="1" applyProtection="1">
      <alignment horizontal="center" vertical="center"/>
      <protection locked="0"/>
    </xf>
    <xf numFmtId="1" fontId="15" fillId="0" borderId="56" xfId="0" applyNumberFormat="1" applyFont="1" applyBorder="1" applyAlignment="1">
      <alignment horizontal="center" vertical="center"/>
    </xf>
    <xf numFmtId="1" fontId="15" fillId="0" borderId="16" xfId="0" applyNumberFormat="1" applyFont="1" applyBorder="1" applyAlignment="1">
      <alignment horizontal="center" vertical="center"/>
    </xf>
    <xf numFmtId="1" fontId="15" fillId="0" borderId="34" xfId="0" applyNumberFormat="1" applyFont="1" applyBorder="1" applyAlignment="1">
      <alignment horizontal="center" vertical="center"/>
    </xf>
    <xf numFmtId="1" fontId="15" fillId="0" borderId="12" xfId="0" applyNumberFormat="1" applyFont="1" applyBorder="1" applyAlignment="1" applyProtection="1">
      <alignment horizontal="center" vertical="center"/>
      <protection locked="0"/>
    </xf>
    <xf numFmtId="1" fontId="15" fillId="0" borderId="97" xfId="0" applyNumberFormat="1" applyFont="1" applyBorder="1" applyAlignment="1" applyProtection="1">
      <alignment horizontal="center" vertical="center"/>
      <protection locked="0"/>
    </xf>
    <xf numFmtId="1" fontId="15" fillId="0" borderId="92" xfId="0" applyNumberFormat="1" applyFont="1" applyBorder="1" applyAlignment="1" applyProtection="1">
      <alignment horizontal="center" vertical="center"/>
      <protection locked="0"/>
    </xf>
    <xf numFmtId="1" fontId="15" fillId="0" borderId="6" xfId="0" applyNumberFormat="1" applyFont="1" applyBorder="1" applyAlignment="1">
      <alignment horizontal="center" vertical="center"/>
    </xf>
    <xf numFmtId="1" fontId="15" fillId="0" borderId="16" xfId="0" applyNumberFormat="1" applyFont="1" applyBorder="1" applyAlignment="1" applyProtection="1">
      <alignment horizontal="center" vertical="center"/>
      <protection locked="0"/>
    </xf>
    <xf numFmtId="1" fontId="15" fillId="0" borderId="56" xfId="0" applyNumberFormat="1" applyFont="1" applyBorder="1" applyAlignment="1" applyProtection="1">
      <alignment horizontal="center" vertical="center"/>
      <protection locked="0"/>
    </xf>
    <xf numFmtId="1" fontId="15" fillId="0" borderId="87" xfId="0" applyNumberFormat="1" applyFont="1" applyBorder="1" applyAlignment="1" applyProtection="1">
      <alignment horizontal="center" vertical="center"/>
      <protection locked="0"/>
    </xf>
    <xf numFmtId="1" fontId="15" fillId="0" borderId="90" xfId="0" applyNumberFormat="1" applyFont="1" applyBorder="1" applyAlignment="1" applyProtection="1">
      <alignment horizontal="center" vertical="center"/>
      <protection locked="0"/>
    </xf>
    <xf numFmtId="0" fontId="29" fillId="0" borderId="0" xfId="0" applyFont="1" applyAlignment="1">
      <alignment horizontal="center" vertical="center"/>
    </xf>
    <xf numFmtId="0" fontId="69" fillId="0" borderId="83" xfId="0" applyFont="1" applyBorder="1" applyAlignment="1">
      <alignment horizontal="left" vertical="top" wrapText="1"/>
    </xf>
    <xf numFmtId="0" fontId="68" fillId="0" borderId="83" xfId="0" applyFont="1" applyBorder="1" applyAlignment="1">
      <alignment horizontal="left" vertical="top" wrapText="1"/>
    </xf>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vertical="center" wrapText="1" indent="1"/>
    </xf>
    <xf numFmtId="0" fontId="0" fillId="0" borderId="3" xfId="0" applyBorder="1" applyAlignment="1" applyProtection="1">
      <alignment horizontal="left" vertical="center" indent="1"/>
      <protection locked="0"/>
    </xf>
    <xf numFmtId="0" fontId="28" fillId="0" borderId="0" xfId="0" applyFont="1" applyAlignment="1">
      <alignment horizontal="center" vertical="center" wrapText="1"/>
    </xf>
    <xf numFmtId="0" fontId="3" fillId="0" borderId="19" xfId="0" applyFont="1" applyBorder="1" applyAlignment="1">
      <alignment horizontal="center" vertical="center" wrapText="1"/>
    </xf>
    <xf numFmtId="0" fontId="3" fillId="0" borderId="0" xfId="0" applyFont="1" applyAlignment="1">
      <alignment horizontal="center" vertical="center" wrapText="1"/>
    </xf>
    <xf numFmtId="0" fontId="28" fillId="0" borderId="61" xfId="0" applyFont="1" applyBorder="1" applyAlignment="1">
      <alignment horizontal="center" vertical="center"/>
    </xf>
    <xf numFmtId="0" fontId="28" fillId="0" borderId="37" xfId="0" applyFont="1" applyBorder="1" applyAlignment="1">
      <alignment horizontal="center" vertical="center"/>
    </xf>
    <xf numFmtId="0" fontId="28" fillId="0" borderId="47" xfId="0" applyFont="1" applyBorder="1" applyAlignment="1">
      <alignment horizontal="right" vertical="center" indent="2"/>
    </xf>
    <xf numFmtId="0" fontId="28" fillId="0" borderId="82" xfId="0" applyFont="1" applyBorder="1" applyAlignment="1">
      <alignment horizontal="right" vertical="center" indent="2"/>
    </xf>
    <xf numFmtId="0" fontId="28" fillId="0" borderId="48" xfId="0" applyFont="1" applyBorder="1" applyAlignment="1">
      <alignment horizontal="right" vertical="center" indent="2"/>
    </xf>
    <xf numFmtId="0" fontId="29"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wrapText="1"/>
    </xf>
    <xf numFmtId="0" fontId="77" fillId="0" borderId="0" xfId="0" applyFont="1" applyAlignment="1">
      <alignment horizontal="center" vertical="top" wrapText="1"/>
    </xf>
    <xf numFmtId="0" fontId="77" fillId="0" borderId="0" xfId="0" applyFont="1" applyAlignment="1">
      <alignment horizontal="center" vertical="top"/>
    </xf>
    <xf numFmtId="0" fontId="29" fillId="0" borderId="0" xfId="0" applyFont="1" applyAlignment="1">
      <alignment horizontal="center" vertical="top" wrapText="1"/>
    </xf>
    <xf numFmtId="0" fontId="29" fillId="0" borderId="0" xfId="0" applyFont="1" applyAlignment="1">
      <alignment horizontal="center" vertical="top"/>
    </xf>
    <xf numFmtId="0" fontId="17" fillId="0" borderId="16" xfId="0" applyFont="1" applyBorder="1" applyAlignment="1">
      <alignment horizontal="right" vertical="center" indent="1" shrinkToFit="1"/>
    </xf>
    <xf numFmtId="0" fontId="17" fillId="0" borderId="3" xfId="0" applyFont="1" applyBorder="1" applyAlignment="1">
      <alignment horizontal="right" vertical="center" indent="1" shrinkToFit="1"/>
    </xf>
    <xf numFmtId="0" fontId="16" fillId="0" borderId="16" xfId="0" applyFont="1" applyBorder="1" applyAlignment="1">
      <alignment horizontal="right" vertical="center" shrinkToFit="1"/>
    </xf>
    <xf numFmtId="0" fontId="16" fillId="0" borderId="3" xfId="0" applyFont="1" applyBorder="1" applyAlignment="1">
      <alignment horizontal="right" vertical="center" shrinkToFit="1"/>
    </xf>
    <xf numFmtId="0" fontId="19" fillId="0" borderId="3" xfId="0" applyFont="1" applyBorder="1" applyAlignment="1">
      <alignment horizontal="left" vertical="center" indent="1" shrinkToFit="1"/>
    </xf>
    <xf numFmtId="0" fontId="19" fillId="0" borderId="3" xfId="0" applyFont="1" applyBorder="1" applyAlignment="1" applyProtection="1">
      <alignment horizontal="left" vertical="center" indent="1"/>
      <protection locked="0"/>
    </xf>
    <xf numFmtId="0" fontId="19" fillId="0" borderId="0" xfId="0" applyFont="1" applyAlignment="1">
      <alignment horizontal="center"/>
    </xf>
    <xf numFmtId="0" fontId="16" fillId="0" borderId="26" xfId="0" applyFont="1" applyBorder="1" applyAlignment="1">
      <alignment horizontal="center" vertical="center" wrapText="1"/>
    </xf>
    <xf numFmtId="0" fontId="16" fillId="0" borderId="1" xfId="0" applyFont="1" applyBorder="1" applyAlignment="1">
      <alignment horizontal="center" vertical="center" wrapText="1"/>
    </xf>
    <xf numFmtId="0" fontId="16" fillId="0" borderId="27" xfId="0" applyFont="1" applyBorder="1" applyAlignment="1">
      <alignment horizontal="center" vertical="center" wrapText="1"/>
    </xf>
    <xf numFmtId="0" fontId="16" fillId="0" borderId="22" xfId="0" applyFont="1" applyBorder="1" applyAlignment="1">
      <alignment horizontal="center" vertical="center" wrapText="1"/>
    </xf>
    <xf numFmtId="0" fontId="16" fillId="0" borderId="23" xfId="0" applyFont="1" applyBorder="1" applyAlignment="1">
      <alignment horizontal="center" vertical="center" wrapText="1"/>
    </xf>
    <xf numFmtId="0" fontId="16" fillId="0" borderId="28" xfId="0" applyFont="1" applyBorder="1" applyAlignment="1">
      <alignment horizontal="center" vertical="center" wrapText="1"/>
    </xf>
    <xf numFmtId="0" fontId="17" fillId="0" borderId="16" xfId="0" applyFont="1" applyBorder="1" applyAlignment="1">
      <alignment horizontal="left" vertical="center" indent="2" shrinkToFit="1"/>
    </xf>
    <xf numFmtId="0" fontId="17" fillId="0" borderId="3" xfId="0" applyFont="1" applyBorder="1" applyAlignment="1">
      <alignment horizontal="left" vertical="center" indent="2" shrinkToFit="1"/>
    </xf>
    <xf numFmtId="0" fontId="19" fillId="0" borderId="24" xfId="0" applyFont="1" applyBorder="1" applyAlignment="1">
      <alignment horizontal="left" vertical="center" indent="1"/>
    </xf>
    <xf numFmtId="0" fontId="17" fillId="0" borderId="34" xfId="0" applyFont="1" applyBorder="1" applyAlignment="1">
      <alignment horizontal="right" vertical="center" indent="1" shrinkToFit="1"/>
    </xf>
    <xf numFmtId="0" fontId="17" fillId="0" borderId="24" xfId="0" applyFont="1" applyBorder="1" applyAlignment="1">
      <alignment horizontal="right" vertical="center" indent="1" shrinkToFit="1"/>
    </xf>
    <xf numFmtId="0" fontId="16" fillId="0" borderId="20" xfId="0" applyFont="1" applyBorder="1" applyAlignment="1">
      <alignment horizontal="right" vertical="center" shrinkToFit="1"/>
    </xf>
    <xf numFmtId="0" fontId="16" fillId="0" borderId="60" xfId="0" applyFont="1" applyBorder="1" applyAlignment="1">
      <alignment horizontal="right" vertical="center" shrinkToFit="1"/>
    </xf>
    <xf numFmtId="0" fontId="16" fillId="0" borderId="4" xfId="0" applyFont="1" applyBorder="1" applyAlignment="1">
      <alignment horizontal="right" vertical="center" shrinkToFit="1"/>
    </xf>
    <xf numFmtId="0" fontId="16" fillId="0" borderId="39" xfId="0" applyFont="1" applyBorder="1" applyAlignment="1">
      <alignment horizontal="right" vertical="center" shrinkToFit="1"/>
    </xf>
    <xf numFmtId="0" fontId="16" fillId="0" borderId="53" xfId="0" applyFont="1" applyBorder="1" applyAlignment="1">
      <alignment horizontal="right" vertical="center" shrinkToFit="1"/>
    </xf>
    <xf numFmtId="0" fontId="16" fillId="0" borderId="41" xfId="0" applyFont="1" applyBorder="1" applyAlignment="1">
      <alignment horizontal="right" vertical="center" shrinkToFit="1"/>
    </xf>
    <xf numFmtId="0" fontId="19" fillId="0" borderId="5" xfId="0" applyFont="1" applyBorder="1" applyAlignment="1" applyProtection="1">
      <alignment horizontal="left" vertical="center" indent="1" shrinkToFit="1"/>
      <protection locked="0"/>
    </xf>
    <xf numFmtId="0" fontId="19" fillId="0" borderId="4" xfId="0" applyFont="1" applyBorder="1" applyAlignment="1" applyProtection="1">
      <alignment horizontal="left" vertical="center" indent="1" shrinkToFit="1"/>
      <protection locked="0"/>
    </xf>
    <xf numFmtId="0" fontId="19" fillId="0" borderId="35" xfId="0" applyFont="1" applyBorder="1" applyAlignment="1" applyProtection="1">
      <alignment horizontal="left" vertical="center" indent="1" shrinkToFit="1"/>
      <protection locked="0"/>
    </xf>
    <xf numFmtId="0" fontId="19" fillId="0" borderId="41" xfId="0" applyFont="1" applyBorder="1" applyAlignment="1" applyProtection="1">
      <alignment horizontal="left" vertical="center" indent="1" shrinkToFit="1"/>
      <protection locked="0"/>
    </xf>
    <xf numFmtId="0" fontId="11" fillId="0" borderId="0" xfId="0" applyFont="1" applyAlignment="1">
      <alignment horizontal="center" vertical="top"/>
    </xf>
    <xf numFmtId="0" fontId="13" fillId="0" borderId="0" xfId="0" applyFont="1" applyAlignment="1">
      <alignment horizontal="center" vertical="center"/>
    </xf>
    <xf numFmtId="0" fontId="17" fillId="0" borderId="42" xfId="0" applyFont="1" applyBorder="1" applyAlignment="1">
      <alignment horizontal="right" vertical="center" shrinkToFit="1"/>
    </xf>
    <xf numFmtId="0" fontId="17" fillId="0" borderId="51" xfId="0" applyFont="1" applyBorder="1" applyAlignment="1">
      <alignment horizontal="right" vertical="center" shrinkToFit="1"/>
    </xf>
    <xf numFmtId="0" fontId="16" fillId="0" borderId="12" xfId="0" applyFont="1" applyBorder="1" applyAlignment="1">
      <alignment horizontal="right" vertical="center" shrinkToFit="1"/>
    </xf>
    <xf numFmtId="0" fontId="16" fillId="0" borderId="13" xfId="0" applyFont="1" applyBorder="1" applyAlignment="1">
      <alignment horizontal="right" vertical="center" shrinkToFit="1"/>
    </xf>
    <xf numFmtId="49" fontId="17" fillId="0" borderId="12" xfId="0" applyNumberFormat="1" applyFont="1" applyBorder="1" applyAlignment="1">
      <alignment horizontal="right" vertical="center" indent="1" shrinkToFit="1"/>
    </xf>
    <xf numFmtId="49" fontId="17" fillId="0" borderId="13" xfId="0" applyNumberFormat="1" applyFont="1" applyBorder="1" applyAlignment="1">
      <alignment horizontal="right" vertical="center" indent="1" shrinkToFit="1"/>
    </xf>
    <xf numFmtId="0" fontId="19" fillId="0" borderId="13" xfId="0" applyFont="1" applyBorder="1" applyAlignment="1" applyProtection="1">
      <alignment horizontal="left" vertical="center" indent="1"/>
      <protection locked="0"/>
    </xf>
    <xf numFmtId="49" fontId="16" fillId="0" borderId="13" xfId="0" applyNumberFormat="1" applyFont="1" applyBorder="1" applyAlignment="1">
      <alignment horizontal="left" vertical="center" indent="1"/>
    </xf>
    <xf numFmtId="0" fontId="16" fillId="0" borderId="16" xfId="0" applyFont="1" applyBorder="1" applyAlignment="1">
      <alignment horizontal="right"/>
    </xf>
    <xf numFmtId="0" fontId="16" fillId="0" borderId="3" xfId="0" applyFont="1" applyBorder="1" applyAlignment="1">
      <alignment horizontal="right"/>
    </xf>
    <xf numFmtId="49" fontId="16" fillId="0" borderId="3" xfId="0" applyNumberFormat="1" applyFont="1" applyBorder="1" applyAlignment="1">
      <alignment horizontal="left" vertical="center" indent="1"/>
    </xf>
    <xf numFmtId="0" fontId="16" fillId="0" borderId="21" xfId="0" applyFont="1" applyBorder="1" applyAlignment="1">
      <alignment horizontal="center" vertical="center" wrapText="1"/>
    </xf>
    <xf numFmtId="0" fontId="16" fillId="0" borderId="0" xfId="0" applyFont="1" applyAlignment="1">
      <alignment horizontal="center" vertical="center" wrapText="1"/>
    </xf>
    <xf numFmtId="0" fontId="16" fillId="0" borderId="29" xfId="0" applyFont="1" applyBorder="1" applyAlignment="1">
      <alignment horizontal="center" vertical="center" wrapText="1"/>
    </xf>
    <xf numFmtId="49" fontId="19" fillId="0" borderId="5" xfId="0" applyNumberFormat="1" applyFont="1" applyBorder="1" applyAlignment="1" applyProtection="1">
      <alignment horizontal="left" vertical="center" indent="1" shrinkToFit="1"/>
      <protection locked="0"/>
    </xf>
    <xf numFmtId="49" fontId="19" fillId="0" borderId="4" xfId="0" applyNumberFormat="1" applyFont="1" applyBorder="1" applyAlignment="1" applyProtection="1">
      <alignment horizontal="left" vertical="center" indent="1" shrinkToFit="1"/>
      <protection locked="0"/>
    </xf>
    <xf numFmtId="0" fontId="19" fillId="0" borderId="3" xfId="0" applyFont="1" applyBorder="1" applyAlignment="1" applyProtection="1">
      <alignment horizontal="left" vertical="center" indent="1" shrinkToFit="1"/>
      <protection locked="0"/>
    </xf>
    <xf numFmtId="0" fontId="15" fillId="0" borderId="22" xfId="0" applyFont="1" applyBorder="1" applyAlignment="1">
      <alignment horizontal="center"/>
    </xf>
    <xf numFmtId="0" fontId="15" fillId="0" borderId="23" xfId="0" applyFont="1" applyBorder="1" applyAlignment="1">
      <alignment horizontal="center"/>
    </xf>
    <xf numFmtId="0" fontId="15" fillId="0" borderId="3" xfId="0" applyFont="1" applyBorder="1" applyAlignment="1">
      <alignment horizontal="left" indent="1"/>
    </xf>
    <xf numFmtId="0" fontId="15" fillId="0" borderId="18" xfId="0" applyFont="1" applyBorder="1" applyAlignment="1">
      <alignment horizontal="left" indent="1"/>
    </xf>
    <xf numFmtId="0" fontId="15" fillId="0" borderId="28" xfId="0" applyFont="1" applyBorder="1" applyAlignment="1">
      <alignment horizontal="center"/>
    </xf>
    <xf numFmtId="0" fontId="14" fillId="0" borderId="5" xfId="0" applyFont="1" applyBorder="1" applyAlignment="1">
      <alignment horizontal="left" indent="1"/>
    </xf>
    <xf numFmtId="0" fontId="14" fillId="0" borderId="33" xfId="0" applyFont="1" applyBorder="1" applyAlignment="1">
      <alignment horizontal="left" indent="1"/>
    </xf>
    <xf numFmtId="0" fontId="19" fillId="0" borderId="3" xfId="0" applyFont="1" applyBorder="1" applyAlignment="1">
      <alignment horizontal="left" vertical="center" indent="1"/>
    </xf>
    <xf numFmtId="0" fontId="19" fillId="0" borderId="5" xfId="0" applyFont="1" applyBorder="1" applyAlignment="1">
      <alignment horizontal="left" vertical="center" indent="1" shrinkToFit="1"/>
    </xf>
    <xf numFmtId="0" fontId="19" fillId="0" borderId="33" xfId="0" applyFont="1" applyBorder="1" applyAlignment="1">
      <alignment horizontal="left" vertical="center" indent="1" shrinkToFit="1"/>
    </xf>
    <xf numFmtId="0" fontId="19" fillId="0" borderId="13" xfId="0" applyFont="1" applyBorder="1" applyAlignment="1">
      <alignment horizontal="left" vertical="center" indent="1"/>
    </xf>
    <xf numFmtId="0" fontId="16" fillId="0" borderId="13" xfId="0" applyFont="1" applyBorder="1" applyAlignment="1">
      <alignment horizontal="left" vertical="center" indent="1"/>
    </xf>
    <xf numFmtId="0" fontId="16" fillId="0" borderId="15" xfId="0" applyFont="1" applyBorder="1" applyAlignment="1">
      <alignment horizontal="left" vertical="center" indent="1"/>
    </xf>
    <xf numFmtId="0" fontId="19" fillId="0" borderId="18" xfId="0" applyFont="1" applyBorder="1" applyAlignment="1">
      <alignment horizontal="left" vertical="center" indent="1" shrinkToFit="1"/>
    </xf>
    <xf numFmtId="0" fontId="14" fillId="0" borderId="31" xfId="0" applyFont="1" applyBorder="1" applyAlignment="1">
      <alignment horizontal="right" vertical="center" indent="1"/>
    </xf>
    <xf numFmtId="14" fontId="16" fillId="0" borderId="7" xfId="0" applyNumberFormat="1" applyFont="1" applyBorder="1" applyAlignment="1" applyProtection="1">
      <alignment horizontal="left" vertical="center" indent="1"/>
      <protection locked="0"/>
    </xf>
    <xf numFmtId="0" fontId="16" fillId="0" borderId="6" xfId="0" applyFont="1" applyBorder="1" applyAlignment="1" applyProtection="1">
      <alignment horizontal="left" vertical="center" indent="1"/>
      <protection locked="0"/>
    </xf>
    <xf numFmtId="0" fontId="14" fillId="0" borderId="5" xfId="0" applyFont="1" applyBorder="1" applyAlignment="1" applyProtection="1">
      <alignment horizontal="left" vertical="center" indent="1"/>
      <protection locked="0"/>
    </xf>
    <xf numFmtId="0" fontId="14" fillId="0" borderId="60" xfId="0" applyFont="1" applyBorder="1" applyAlignment="1" applyProtection="1">
      <alignment horizontal="left" vertical="center" indent="1"/>
      <protection locked="0"/>
    </xf>
    <xf numFmtId="0" fontId="14" fillId="0" borderId="33" xfId="0" applyFont="1" applyBorder="1" applyAlignment="1" applyProtection="1">
      <alignment horizontal="left" vertical="center" indent="1"/>
      <protection locked="0"/>
    </xf>
    <xf numFmtId="0" fontId="16" fillId="0" borderId="61" xfId="0" applyFont="1" applyBorder="1" applyAlignment="1">
      <alignment horizontal="left" vertical="center" indent="1"/>
    </xf>
    <xf numFmtId="0" fontId="16" fillId="0" borderId="32" xfId="0" applyFont="1" applyBorder="1" applyAlignment="1">
      <alignment horizontal="left" vertical="center" indent="1"/>
    </xf>
    <xf numFmtId="0" fontId="16" fillId="0" borderId="60" xfId="0" applyFont="1" applyBorder="1" applyAlignment="1">
      <alignment horizontal="left" vertical="center" indent="1"/>
    </xf>
    <xf numFmtId="0" fontId="16" fillId="0" borderId="33" xfId="0" applyFont="1" applyBorder="1" applyAlignment="1">
      <alignment horizontal="left" vertical="center" indent="1"/>
    </xf>
    <xf numFmtId="1" fontId="16" fillId="0" borderId="30" xfId="0" applyNumberFormat="1" applyFont="1" applyBorder="1" applyAlignment="1" applyProtection="1">
      <alignment horizontal="left" vertical="center" indent="1"/>
      <protection locked="0"/>
    </xf>
    <xf numFmtId="0" fontId="16" fillId="0" borderId="61" xfId="0" applyFont="1" applyBorder="1" applyAlignment="1" applyProtection="1">
      <alignment horizontal="left" vertical="center" indent="1"/>
      <protection locked="0"/>
    </xf>
    <xf numFmtId="0" fontId="16" fillId="0" borderId="37" xfId="0" applyFont="1" applyBorder="1" applyAlignment="1" applyProtection="1">
      <alignment horizontal="left" vertical="center" indent="1"/>
      <protection locked="0"/>
    </xf>
    <xf numFmtId="0" fontId="16" fillId="0" borderId="5" xfId="0" applyFont="1" applyBorder="1" applyAlignment="1" applyProtection="1">
      <alignment horizontal="left" vertical="center" indent="1"/>
      <protection locked="0"/>
    </xf>
    <xf numFmtId="0" fontId="16" fillId="0" borderId="60" xfId="0" applyFont="1" applyBorder="1" applyAlignment="1" applyProtection="1">
      <alignment horizontal="left" vertical="center" indent="1"/>
      <protection locked="0"/>
    </xf>
    <xf numFmtId="0" fontId="16" fillId="0" borderId="4" xfId="0" applyFont="1" applyBorder="1" applyAlignment="1" applyProtection="1">
      <alignment horizontal="left" vertical="center" indent="1"/>
      <protection locked="0"/>
    </xf>
    <xf numFmtId="0" fontId="16" fillId="0" borderId="30" xfId="0" applyFont="1" applyBorder="1" applyAlignment="1" applyProtection="1">
      <alignment horizontal="left" vertical="center" indent="1"/>
      <protection locked="0"/>
    </xf>
    <xf numFmtId="0" fontId="16" fillId="0" borderId="32" xfId="0" applyFont="1" applyBorder="1" applyAlignment="1" applyProtection="1">
      <alignment horizontal="left" vertical="center" indent="1"/>
      <protection locked="0"/>
    </xf>
    <xf numFmtId="0" fontId="16" fillId="0" borderId="53" xfId="0" applyFont="1" applyBorder="1" applyAlignment="1">
      <alignment horizontal="left" vertical="center" indent="1"/>
    </xf>
    <xf numFmtId="0" fontId="16" fillId="0" borderId="54" xfId="0" applyFont="1" applyBorder="1" applyAlignment="1">
      <alignment horizontal="left" vertical="center" indent="1"/>
    </xf>
    <xf numFmtId="0" fontId="16" fillId="0" borderId="31" xfId="0" applyFont="1" applyBorder="1" applyAlignment="1">
      <alignment horizontal="right" vertical="center"/>
    </xf>
    <xf numFmtId="0" fontId="16" fillId="0" borderId="61" xfId="0" applyFont="1" applyBorder="1" applyAlignment="1">
      <alignment horizontal="right" vertical="center"/>
    </xf>
    <xf numFmtId="0" fontId="16" fillId="0" borderId="20" xfId="0" applyFont="1" applyBorder="1" applyAlignment="1">
      <alignment horizontal="right" vertical="center"/>
    </xf>
    <xf numFmtId="0" fontId="16" fillId="0" borderId="60" xfId="0" applyFont="1" applyBorder="1" applyAlignment="1">
      <alignment horizontal="right" vertical="center"/>
    </xf>
    <xf numFmtId="0" fontId="16" fillId="0" borderId="39" xfId="0" applyFont="1" applyBorder="1" applyAlignment="1">
      <alignment horizontal="center" vertical="center"/>
    </xf>
    <xf numFmtId="0" fontId="16" fillId="0" borderId="53" xfId="0" applyFont="1" applyBorder="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vertical="top"/>
    </xf>
    <xf numFmtId="0" fontId="16" fillId="0" borderId="31" xfId="0" applyFont="1" applyBorder="1" applyAlignment="1">
      <alignment horizontal="center" vertical="center" wrapText="1"/>
    </xf>
    <xf numFmtId="0" fontId="16" fillId="0" borderId="32" xfId="0" applyFont="1" applyBorder="1" applyAlignment="1">
      <alignment horizontal="center" vertical="center" wrapText="1"/>
    </xf>
    <xf numFmtId="0" fontId="14" fillId="0" borderId="14" xfId="0" applyFont="1" applyBorder="1" applyAlignment="1">
      <alignment horizontal="center" vertical="center" wrapText="1"/>
    </xf>
    <xf numFmtId="0" fontId="14" fillId="0" borderId="17" xfId="0" applyFont="1" applyBorder="1" applyAlignment="1">
      <alignment horizontal="center" vertical="center" wrapText="1"/>
    </xf>
    <xf numFmtId="0" fontId="14" fillId="0" borderId="46" xfId="0" applyFont="1" applyBorder="1" applyAlignment="1">
      <alignment horizontal="center" vertical="center" wrapText="1"/>
    </xf>
    <xf numFmtId="0" fontId="14" fillId="0" borderId="15" xfId="0" applyFont="1" applyBorder="1" applyAlignment="1">
      <alignment horizontal="center" vertical="center" wrapText="1"/>
    </xf>
    <xf numFmtId="0" fontId="14" fillId="0" borderId="18" xfId="0" applyFont="1" applyBorder="1" applyAlignment="1">
      <alignment horizontal="center" vertical="center" wrapText="1"/>
    </xf>
    <xf numFmtId="0" fontId="14" fillId="0" borderId="44" xfId="0" applyFont="1" applyBorder="1" applyAlignment="1">
      <alignment horizontal="center" vertical="center" wrapText="1"/>
    </xf>
    <xf numFmtId="0" fontId="16" fillId="0" borderId="20" xfId="0" applyFont="1" applyBorder="1" applyAlignment="1" applyProtection="1">
      <alignment horizontal="center" vertical="center" wrapText="1"/>
      <protection locked="0"/>
    </xf>
    <xf numFmtId="0" fontId="16" fillId="0" borderId="33" xfId="0" applyFont="1" applyBorder="1" applyAlignment="1" applyProtection="1">
      <alignment horizontal="center" vertical="center" wrapText="1"/>
      <protection locked="0"/>
    </xf>
    <xf numFmtId="0" fontId="23" fillId="0" borderId="0" xfId="0" applyFont="1" applyAlignment="1">
      <alignment horizontal="center"/>
    </xf>
    <xf numFmtId="0" fontId="25" fillId="0" borderId="0" xfId="0" applyFont="1" applyAlignment="1">
      <alignment horizontal="center"/>
    </xf>
    <xf numFmtId="0" fontId="14" fillId="0" borderId="26" xfId="0" applyFont="1" applyBorder="1" applyAlignment="1">
      <alignment horizontal="center" vertical="center"/>
    </xf>
    <xf numFmtId="0" fontId="14" fillId="0" borderId="1" xfId="0" applyFont="1" applyBorder="1" applyAlignment="1">
      <alignment horizontal="center" vertical="center"/>
    </xf>
    <xf numFmtId="0" fontId="14" fillId="0" borderId="84" xfId="0" applyFont="1" applyBorder="1" applyAlignment="1">
      <alignment horizontal="center" vertical="center"/>
    </xf>
    <xf numFmtId="0" fontId="14" fillId="0" borderId="51" xfId="0" applyFont="1" applyBorder="1" applyAlignment="1">
      <alignment horizontal="center" vertical="center"/>
    </xf>
    <xf numFmtId="0" fontId="14" fillId="0" borderId="19" xfId="0" applyFont="1" applyBorder="1" applyAlignment="1">
      <alignment horizontal="center" vertical="center"/>
    </xf>
    <xf numFmtId="0" fontId="14" fillId="0" borderId="6" xfId="0" applyFont="1" applyBorder="1" applyAlignment="1">
      <alignment horizontal="center" vertical="center"/>
    </xf>
    <xf numFmtId="0" fontId="37" fillId="0" borderId="14" xfId="0" applyFont="1" applyBorder="1" applyAlignment="1">
      <alignment horizontal="center" vertical="center" wrapText="1"/>
    </xf>
    <xf numFmtId="0" fontId="37" fillId="0" borderId="17" xfId="0" applyFont="1" applyBorder="1" applyAlignment="1">
      <alignment horizontal="center" vertical="center" wrapText="1"/>
    </xf>
    <xf numFmtId="0" fontId="37" fillId="0" borderId="46" xfId="0" applyFont="1" applyBorder="1" applyAlignment="1">
      <alignment horizontal="center" vertical="center" wrapText="1"/>
    </xf>
    <xf numFmtId="0" fontId="14" fillId="0" borderId="39" xfId="0" applyFont="1" applyBorder="1" applyAlignment="1">
      <alignment horizontal="right" vertical="center" indent="1"/>
    </xf>
    <xf numFmtId="0" fontId="14" fillId="0" borderId="53" xfId="0" applyFont="1" applyBorder="1" applyAlignment="1">
      <alignment horizontal="right" vertical="center" indent="1"/>
    </xf>
    <xf numFmtId="0" fontId="14" fillId="0" borderId="41" xfId="0" applyFont="1" applyBorder="1" applyAlignment="1">
      <alignment horizontal="right" vertical="center" indent="1"/>
    </xf>
    <xf numFmtId="165" fontId="14" fillId="0" borderId="35" xfId="0" applyNumberFormat="1" applyFont="1" applyBorder="1" applyAlignment="1">
      <alignment horizontal="center" vertical="center" wrapText="1"/>
    </xf>
    <xf numFmtId="165" fontId="14" fillId="0" borderId="54" xfId="0" applyNumberFormat="1" applyFont="1" applyBorder="1" applyAlignment="1">
      <alignment horizontal="center" vertical="center" wrapText="1"/>
    </xf>
    <xf numFmtId="0" fontId="14" fillId="0" borderId="39" xfId="0" applyFont="1" applyBorder="1" applyAlignment="1">
      <alignment horizontal="center" vertical="center"/>
    </xf>
    <xf numFmtId="0" fontId="14" fillId="0" borderId="54" xfId="0" applyFont="1" applyBorder="1" applyAlignment="1">
      <alignment horizontal="center" vertical="center"/>
    </xf>
    <xf numFmtId="164" fontId="14" fillId="0" borderId="51" xfId="0" applyNumberFormat="1" applyFont="1" applyBorder="1" applyAlignment="1" applyProtection="1">
      <alignment horizontal="center" vertical="center"/>
      <protection locked="0"/>
    </xf>
    <xf numFmtId="164" fontId="14" fillId="0" borderId="52" xfId="0" applyNumberFormat="1" applyFont="1" applyBorder="1" applyAlignment="1" applyProtection="1">
      <alignment horizontal="center" vertical="center"/>
      <protection locked="0"/>
    </xf>
    <xf numFmtId="0" fontId="25" fillId="0" borderId="0" xfId="0" applyFont="1" applyAlignment="1">
      <alignment horizontal="center" vertical="center"/>
    </xf>
    <xf numFmtId="165" fontId="14" fillId="0" borderId="7" xfId="0" applyNumberFormat="1" applyFont="1" applyBorder="1" applyAlignment="1">
      <alignment horizontal="center" vertical="center"/>
    </xf>
    <xf numFmtId="165" fontId="14" fillId="0" borderId="52" xfId="0" applyNumberFormat="1" applyFont="1" applyBorder="1" applyAlignment="1">
      <alignment horizontal="center" vertical="center"/>
    </xf>
    <xf numFmtId="0" fontId="24" fillId="0" borderId="19" xfId="0" applyFont="1" applyBorder="1" applyAlignment="1">
      <alignment horizontal="center" vertical="center"/>
    </xf>
    <xf numFmtId="0" fontId="14" fillId="0" borderId="13" xfId="0" applyFont="1" applyBorder="1" applyAlignment="1">
      <alignment horizontal="center" vertical="center"/>
    </xf>
    <xf numFmtId="0" fontId="14" fillId="0" borderId="3" xfId="0" applyFont="1" applyBorder="1" applyAlignment="1">
      <alignment horizontal="center" vertical="center"/>
    </xf>
    <xf numFmtId="0" fontId="14" fillId="0" borderId="11" xfId="0" applyFont="1" applyBorder="1" applyAlignment="1">
      <alignment horizontal="center" vertical="center"/>
    </xf>
    <xf numFmtId="0" fontId="14" fillId="0" borderId="12" xfId="0" applyFont="1" applyBorder="1" applyAlignment="1">
      <alignment horizontal="center" vertical="center" wrapText="1"/>
    </xf>
    <xf numFmtId="0" fontId="14" fillId="0" borderId="16" xfId="0" applyFont="1" applyBorder="1" applyAlignment="1">
      <alignment horizontal="center" vertical="center" wrapText="1"/>
    </xf>
    <xf numFmtId="0" fontId="14" fillId="0" borderId="34" xfId="0" applyFont="1" applyBorder="1" applyAlignment="1">
      <alignment horizontal="center" vertical="center" wrapText="1"/>
    </xf>
    <xf numFmtId="0" fontId="14" fillId="0" borderId="13" xfId="0" applyFont="1" applyBorder="1" applyAlignment="1">
      <alignment horizontal="center" vertical="center" wrapText="1"/>
    </xf>
    <xf numFmtId="0" fontId="14" fillId="0" borderId="3" xfId="0" applyFont="1" applyBorder="1" applyAlignment="1">
      <alignment horizontal="center" vertical="center" wrapText="1"/>
    </xf>
    <xf numFmtId="0" fontId="14" fillId="0" borderId="24" xfId="0" applyFont="1" applyBorder="1" applyAlignment="1">
      <alignment horizontal="center" vertical="center" wrapText="1"/>
    </xf>
    <xf numFmtId="0" fontId="16" fillId="0" borderId="15" xfId="0" applyFont="1" applyBorder="1" applyAlignment="1">
      <alignment horizontal="center" vertical="center" wrapText="1"/>
    </xf>
    <xf numFmtId="0" fontId="16" fillId="0" borderId="18" xfId="0" applyFont="1" applyBorder="1" applyAlignment="1">
      <alignment horizontal="center" vertical="center" wrapText="1"/>
    </xf>
    <xf numFmtId="0" fontId="16" fillId="0" borderId="25" xfId="0" applyFont="1" applyBorder="1" applyAlignment="1">
      <alignment horizontal="center" vertical="center" wrapText="1"/>
    </xf>
    <xf numFmtId="0" fontId="24" fillId="0" borderId="5" xfId="0" applyFont="1" applyBorder="1" applyAlignment="1" applyProtection="1">
      <alignment horizontal="left" vertical="center" indent="1"/>
      <protection locked="0"/>
    </xf>
    <xf numFmtId="0" fontId="24" fillId="0" borderId="60" xfId="0" applyFont="1" applyBorder="1" applyAlignment="1" applyProtection="1">
      <alignment horizontal="left" vertical="center" indent="1"/>
      <protection locked="0"/>
    </xf>
    <xf numFmtId="0" fontId="24" fillId="0" borderId="4" xfId="0" applyFont="1" applyBorder="1" applyAlignment="1" applyProtection="1">
      <alignment horizontal="left" vertical="center" indent="1"/>
      <protection locked="0"/>
    </xf>
    <xf numFmtId="0" fontId="24" fillId="0" borderId="3" xfId="0" applyFont="1" applyBorder="1" applyAlignment="1" applyProtection="1">
      <alignment horizontal="left" vertical="center" indent="1"/>
      <protection locked="0"/>
    </xf>
    <xf numFmtId="0" fontId="67" fillId="0" borderId="0" xfId="0" applyFont="1" applyAlignment="1">
      <alignment horizontal="center" vertical="center"/>
    </xf>
    <xf numFmtId="0" fontId="40" fillId="0" borderId="19" xfId="0" applyFont="1" applyBorder="1" applyAlignment="1">
      <alignment horizontal="center"/>
    </xf>
    <xf numFmtId="0" fontId="45" fillId="0" borderId="2" xfId="0" applyFont="1" applyBorder="1" applyAlignment="1">
      <alignment horizontal="center" vertical="center" wrapText="1"/>
    </xf>
    <xf numFmtId="0" fontId="45" fillId="0" borderId="0" xfId="0" applyFont="1" applyAlignment="1">
      <alignment horizontal="center" vertical="center" wrapText="1"/>
    </xf>
    <xf numFmtId="0" fontId="39" fillId="0" borderId="3" xfId="0" applyFont="1" applyBorder="1" applyAlignment="1">
      <alignment horizontal="center" vertical="center" wrapText="1"/>
    </xf>
    <xf numFmtId="0" fontId="40" fillId="0" borderId="19" xfId="0" applyFont="1" applyBorder="1" applyAlignment="1">
      <alignment horizontal="center" vertical="center" wrapText="1"/>
    </xf>
    <xf numFmtId="165" fontId="43" fillId="0" borderId="18" xfId="0" applyNumberFormat="1" applyFont="1" applyBorder="1" applyAlignment="1">
      <alignment horizontal="center" vertical="center" wrapText="1"/>
    </xf>
    <xf numFmtId="0" fontId="42" fillId="0" borderId="3" xfId="0" applyFont="1" applyBorder="1" applyAlignment="1">
      <alignment horizontal="left" vertical="top" wrapText="1"/>
    </xf>
    <xf numFmtId="0" fontId="43" fillId="0" borderId="3" xfId="0" applyFont="1" applyBorder="1" applyAlignment="1">
      <alignment vertical="top" wrapText="1"/>
    </xf>
    <xf numFmtId="0" fontId="43" fillId="0" borderId="3" xfId="0" applyFont="1" applyBorder="1" applyAlignment="1">
      <alignment horizontal="center" vertical="top" wrapText="1"/>
    </xf>
    <xf numFmtId="165" fontId="43" fillId="0" borderId="25" xfId="0" applyNumberFormat="1" applyFont="1" applyBorder="1" applyAlignment="1">
      <alignment horizontal="center" vertical="center" wrapText="1"/>
    </xf>
    <xf numFmtId="0" fontId="42" fillId="0" borderId="0" xfId="0" applyFont="1" applyAlignment="1">
      <alignment horizontal="right" vertical="center" wrapText="1" indent="1"/>
    </xf>
    <xf numFmtId="0" fontId="42" fillId="0" borderId="29" xfId="0" applyFont="1" applyBorder="1" applyAlignment="1">
      <alignment horizontal="right" vertical="center" wrapText="1" indent="1"/>
    </xf>
    <xf numFmtId="165" fontId="42" fillId="0" borderId="22" xfId="0" applyNumberFormat="1" applyFont="1" applyBorder="1" applyAlignment="1">
      <alignment horizontal="center" vertical="center" wrapText="1"/>
    </xf>
    <xf numFmtId="0" fontId="42" fillId="0" borderId="23" xfId="0" applyFont="1" applyBorder="1" applyAlignment="1">
      <alignment horizontal="center" vertical="center" wrapText="1"/>
    </xf>
    <xf numFmtId="0" fontId="42" fillId="0" borderId="28" xfId="0" applyFont="1" applyBorder="1" applyAlignment="1">
      <alignment horizontal="center" vertical="center" wrapText="1"/>
    </xf>
    <xf numFmtId="0" fontId="40" fillId="0" borderId="49" xfId="0" applyFont="1" applyBorder="1" applyAlignment="1">
      <alignment horizontal="center" vertical="center" wrapText="1"/>
    </xf>
    <xf numFmtId="0" fontId="40" fillId="0" borderId="64" xfId="0" applyFont="1" applyBorder="1" applyAlignment="1">
      <alignment horizontal="center" vertical="center" wrapText="1"/>
    </xf>
    <xf numFmtId="0" fontId="40" fillId="0" borderId="65" xfId="0" applyFont="1" applyBorder="1" applyAlignment="1">
      <alignment horizontal="center" vertical="center" wrapText="1"/>
    </xf>
    <xf numFmtId="0" fontId="39" fillId="0" borderId="10" xfId="0" applyFont="1" applyBorder="1" applyAlignment="1">
      <alignment horizontal="center" vertical="center" wrapText="1"/>
    </xf>
    <xf numFmtId="0" fontId="42" fillId="0" borderId="24" xfId="0" applyFont="1" applyBorder="1" applyAlignment="1">
      <alignment horizontal="left" vertical="top" wrapText="1"/>
    </xf>
    <xf numFmtId="0" fontId="43" fillId="0" borderId="24" xfId="0" applyFont="1" applyBorder="1" applyAlignment="1">
      <alignment vertical="top" wrapText="1"/>
    </xf>
    <xf numFmtId="0" fontId="43" fillId="0" borderId="24" xfId="0" applyFont="1" applyBorder="1" applyAlignment="1">
      <alignment horizontal="center" vertical="top" wrapText="1"/>
    </xf>
    <xf numFmtId="9" fontId="43" fillId="0" borderId="3" xfId="0" applyNumberFormat="1" applyFont="1" applyBorder="1" applyAlignment="1">
      <alignment horizontal="center" vertical="top" wrapText="1"/>
    </xf>
    <xf numFmtId="9" fontId="43" fillId="0" borderId="24" xfId="0" applyNumberFormat="1" applyFont="1" applyBorder="1" applyAlignment="1">
      <alignment horizontal="center" vertical="top" wrapText="1"/>
    </xf>
    <xf numFmtId="0" fontId="43" fillId="0" borderId="3" xfId="0" applyFont="1" applyBorder="1" applyAlignment="1">
      <alignment horizontal="center" vertical="center" wrapText="1"/>
    </xf>
    <xf numFmtId="0" fontId="43" fillId="0" borderId="24" xfId="0" applyFont="1" applyBorder="1" applyAlignment="1">
      <alignment horizontal="center" vertical="center" wrapText="1"/>
    </xf>
    <xf numFmtId="165" fontId="43" fillId="0" borderId="3" xfId="0" applyNumberFormat="1" applyFont="1" applyBorder="1" applyAlignment="1">
      <alignment horizontal="center" vertical="center" wrapText="1"/>
    </xf>
    <xf numFmtId="165" fontId="43" fillId="0" borderId="24" xfId="0" applyNumberFormat="1" applyFont="1" applyBorder="1" applyAlignment="1">
      <alignment horizontal="center" vertical="center" wrapText="1"/>
    </xf>
    <xf numFmtId="10" fontId="43" fillId="0" borderId="3" xfId="0" applyNumberFormat="1" applyFont="1" applyBorder="1" applyAlignment="1">
      <alignment horizontal="center" vertical="top" wrapText="1"/>
    </xf>
    <xf numFmtId="0" fontId="42" fillId="0" borderId="11" xfId="0" applyFont="1" applyBorder="1" applyAlignment="1">
      <alignment horizontal="left" vertical="top" wrapText="1"/>
    </xf>
    <xf numFmtId="0" fontId="42" fillId="0" borderId="17" xfId="0" applyFont="1" applyBorder="1" applyAlignment="1">
      <alignment horizontal="left" vertical="top" wrapText="1"/>
    </xf>
    <xf numFmtId="0" fontId="42" fillId="0" borderId="10" xfId="0" applyFont="1" applyBorder="1" applyAlignment="1">
      <alignment horizontal="left" vertical="top" wrapText="1"/>
    </xf>
    <xf numFmtId="0" fontId="43" fillId="0" borderId="3" xfId="0" applyFont="1" applyBorder="1" applyAlignment="1">
      <alignment horizontal="left" vertical="top" wrapText="1"/>
    </xf>
    <xf numFmtId="0" fontId="42" fillId="0" borderId="63" xfId="0" applyFont="1" applyBorder="1" applyAlignment="1">
      <alignment horizontal="center" vertical="center" wrapText="1"/>
    </xf>
    <xf numFmtId="0" fontId="42" fillId="0" borderId="66" xfId="0" applyFont="1" applyBorder="1" applyAlignment="1">
      <alignment horizontal="center" vertical="center" wrapText="1"/>
    </xf>
    <xf numFmtId="0" fontId="42" fillId="0" borderId="69" xfId="0" applyFont="1" applyBorder="1" applyAlignment="1">
      <alignment horizontal="center" vertical="center" wrapText="1"/>
    </xf>
    <xf numFmtId="0" fontId="43" fillId="0" borderId="13" xfId="0" applyFont="1" applyBorder="1" applyAlignment="1">
      <alignment vertical="top" wrapText="1"/>
    </xf>
    <xf numFmtId="0" fontId="43" fillId="0" borderId="13" xfId="0" applyFont="1" applyBorder="1" applyAlignment="1">
      <alignment horizontal="center" vertical="top" wrapText="1"/>
    </xf>
    <xf numFmtId="0" fontId="43" fillId="0" borderId="13" xfId="0" applyFont="1" applyBorder="1" applyAlignment="1">
      <alignment horizontal="center" vertical="center" wrapText="1"/>
    </xf>
    <xf numFmtId="0" fontId="42" fillId="0" borderId="47" xfId="0" applyFont="1" applyBorder="1" applyAlignment="1">
      <alignment horizontal="center" vertical="center" wrapText="1"/>
    </xf>
    <xf numFmtId="0" fontId="42" fillId="0" borderId="48" xfId="0" applyFont="1" applyBorder="1" applyAlignment="1">
      <alignment horizontal="center" vertical="center" wrapText="1"/>
    </xf>
    <xf numFmtId="0" fontId="42" fillId="0" borderId="50" xfId="0" applyFont="1" applyBorder="1" applyAlignment="1">
      <alignment horizontal="center" vertical="center" wrapText="1"/>
    </xf>
    <xf numFmtId="0" fontId="42" fillId="0" borderId="49" xfId="0" applyFont="1" applyBorder="1" applyAlignment="1">
      <alignment horizontal="center" vertical="center" wrapText="1"/>
    </xf>
    <xf numFmtId="0" fontId="42" fillId="0" borderId="64" xfId="0" applyFont="1" applyBorder="1" applyAlignment="1">
      <alignment horizontal="center" vertical="center" wrapText="1"/>
    </xf>
    <xf numFmtId="0" fontId="42" fillId="0" borderId="65" xfId="0" applyFont="1" applyBorder="1" applyAlignment="1">
      <alignment horizontal="center" vertical="center" wrapText="1"/>
    </xf>
    <xf numFmtId="0" fontId="42" fillId="0" borderId="26" xfId="0" applyFont="1" applyBorder="1" applyAlignment="1">
      <alignment horizontal="center" vertical="center" wrapText="1"/>
    </xf>
    <xf numFmtId="0" fontId="42" fillId="0" borderId="1" xfId="0" applyFont="1" applyBorder="1" applyAlignment="1">
      <alignment horizontal="center" vertical="center" wrapText="1"/>
    </xf>
    <xf numFmtId="0" fontId="42" fillId="0" borderId="27" xfId="0" applyFont="1" applyBorder="1" applyAlignment="1">
      <alignment horizontal="center" vertical="center" wrapText="1"/>
    </xf>
    <xf numFmtId="0" fontId="42" fillId="0" borderId="22" xfId="0" applyFont="1" applyBorder="1" applyAlignment="1">
      <alignment horizontal="center" vertical="center" wrapText="1"/>
    </xf>
    <xf numFmtId="0" fontId="42" fillId="0" borderId="14" xfId="0" applyFont="1" applyBorder="1" applyAlignment="1">
      <alignment horizontal="left" vertical="top" wrapText="1"/>
    </xf>
    <xf numFmtId="10" fontId="43" fillId="0" borderId="13" xfId="0" applyNumberFormat="1" applyFont="1" applyBorder="1" applyAlignment="1">
      <alignment horizontal="center" vertical="top" wrapText="1"/>
    </xf>
    <xf numFmtId="165" fontId="43" fillId="0" borderId="13" xfId="0" applyNumberFormat="1" applyFont="1" applyBorder="1" applyAlignment="1">
      <alignment horizontal="center" vertical="center" wrapText="1"/>
    </xf>
    <xf numFmtId="165" fontId="43" fillId="0" borderId="15" xfId="0" applyNumberFormat="1" applyFont="1" applyBorder="1" applyAlignment="1">
      <alignment horizontal="center" vertical="center" wrapText="1"/>
    </xf>
    <xf numFmtId="0" fontId="42" fillId="0" borderId="67" xfId="0" applyFont="1" applyBorder="1" applyAlignment="1">
      <alignment horizontal="center" vertical="top" wrapText="1"/>
    </xf>
    <xf numFmtId="0" fontId="42" fillId="0" borderId="68" xfId="0" applyFont="1" applyBorder="1" applyAlignment="1">
      <alignment horizontal="center" vertical="top" wrapText="1"/>
    </xf>
    <xf numFmtId="0" fontId="42" fillId="0" borderId="45" xfId="0" applyFont="1" applyBorder="1" applyAlignment="1">
      <alignment horizontal="center" vertical="top" wrapText="1"/>
    </xf>
    <xf numFmtId="0" fontId="39" fillId="0" borderId="3" xfId="0" applyFont="1" applyBorder="1" applyAlignment="1">
      <alignment horizontal="right" vertical="center" indent="1"/>
    </xf>
    <xf numFmtId="0" fontId="40" fillId="0" borderId="3" xfId="0" applyFont="1" applyBorder="1" applyAlignment="1">
      <alignment horizontal="left" vertical="center" indent="1"/>
    </xf>
    <xf numFmtId="167" fontId="40" fillId="0" borderId="3" xfId="0" applyNumberFormat="1" applyFont="1" applyBorder="1" applyAlignment="1">
      <alignment horizontal="left" vertical="center" indent="1"/>
    </xf>
    <xf numFmtId="17" fontId="40" fillId="0" borderId="3" xfId="0" applyNumberFormat="1" applyFont="1" applyBorder="1" applyAlignment="1">
      <alignment horizontal="left" vertical="center" indent="1"/>
    </xf>
    <xf numFmtId="0" fontId="41" fillId="0" borderId="19" xfId="0" applyFont="1" applyBorder="1" applyAlignment="1">
      <alignment horizontal="center" vertical="center"/>
    </xf>
    <xf numFmtId="0" fontId="41" fillId="0" borderId="6" xfId="0" applyFont="1" applyBorder="1" applyAlignment="1">
      <alignment horizontal="center" vertical="center"/>
    </xf>
    <xf numFmtId="0" fontId="38" fillId="6" borderId="0" xfId="0" applyFont="1" applyFill="1" applyAlignment="1">
      <alignment horizontal="center" vertical="center"/>
    </xf>
    <xf numFmtId="0" fontId="40" fillId="0" borderId="5" xfId="0" applyFont="1" applyBorder="1" applyAlignment="1">
      <alignment horizontal="left" vertical="center" indent="1"/>
    </xf>
    <xf numFmtId="0" fontId="40" fillId="0" borderId="60" xfId="0" applyFont="1" applyBorder="1" applyAlignment="1">
      <alignment horizontal="left" vertical="center" indent="1"/>
    </xf>
    <xf numFmtId="0" fontId="40" fillId="0" borderId="4" xfId="0" applyFont="1" applyBorder="1" applyAlignment="1">
      <alignment horizontal="left" vertical="center" indent="1"/>
    </xf>
    <xf numFmtId="0" fontId="48" fillId="0" borderId="75" xfId="0" applyFont="1" applyBorder="1" applyAlignment="1" applyProtection="1">
      <alignment horizontal="center" vertical="center" wrapText="1"/>
      <protection locked="0"/>
    </xf>
    <xf numFmtId="0" fontId="48" fillId="0" borderId="74" xfId="0" applyFont="1" applyBorder="1" applyAlignment="1" applyProtection="1">
      <alignment horizontal="center" vertical="center" wrapText="1"/>
      <protection locked="0"/>
    </xf>
    <xf numFmtId="0" fontId="48" fillId="0" borderId="77" xfId="0" applyFont="1" applyBorder="1" applyAlignment="1" applyProtection="1">
      <alignment horizontal="center" vertical="center" wrapText="1"/>
      <protection locked="0"/>
    </xf>
    <xf numFmtId="0" fontId="41" fillId="0" borderId="1" xfId="0" applyFont="1" applyBorder="1" applyAlignment="1">
      <alignment horizontal="left"/>
    </xf>
    <xf numFmtId="0" fontId="28" fillId="7" borderId="71" xfId="0" applyFont="1" applyFill="1" applyBorder="1" applyAlignment="1">
      <alignment horizontal="center" vertical="center" wrapText="1"/>
    </xf>
    <xf numFmtId="0" fontId="28" fillId="7" borderId="72" xfId="0" applyFont="1" applyFill="1" applyBorder="1" applyAlignment="1">
      <alignment horizontal="center" vertical="center" wrapText="1"/>
    </xf>
    <xf numFmtId="0" fontId="28" fillId="7" borderId="73" xfId="0" applyFont="1" applyFill="1" applyBorder="1" applyAlignment="1">
      <alignment horizontal="center" vertical="center" wrapText="1"/>
    </xf>
    <xf numFmtId="0" fontId="41" fillId="0" borderId="71" xfId="0" applyFont="1" applyBorder="1" applyAlignment="1">
      <alignment horizontal="left" vertical="center" wrapText="1"/>
    </xf>
    <xf numFmtId="0" fontId="41" fillId="0" borderId="72" xfId="0" applyFont="1" applyBorder="1" applyAlignment="1">
      <alignment horizontal="left" vertical="center" wrapText="1"/>
    </xf>
    <xf numFmtId="0" fontId="41" fillId="0" borderId="73" xfId="0" applyFont="1" applyBorder="1" applyAlignment="1">
      <alignment horizontal="left" vertical="center" wrapText="1"/>
    </xf>
    <xf numFmtId="0" fontId="28" fillId="0" borderId="71" xfId="0" applyFont="1" applyBorder="1" applyAlignment="1">
      <alignment vertical="center" wrapText="1"/>
    </xf>
    <xf numFmtId="0" fontId="28" fillId="0" borderId="72" xfId="0" applyFont="1" applyBorder="1" applyAlignment="1">
      <alignment vertical="center" wrapText="1"/>
    </xf>
    <xf numFmtId="0" fontId="28" fillId="0" borderId="73" xfId="0" applyFont="1" applyBorder="1" applyAlignment="1">
      <alignment vertical="center" wrapText="1"/>
    </xf>
    <xf numFmtId="0" fontId="24" fillId="0" borderId="19" xfId="0" applyFont="1" applyBorder="1" applyAlignment="1">
      <alignment horizontal="center"/>
    </xf>
    <xf numFmtId="0" fontId="51" fillId="0" borderId="2" xfId="0" applyFont="1" applyBorder="1" applyAlignment="1">
      <alignment horizontal="center"/>
    </xf>
    <xf numFmtId="0" fontId="51" fillId="0" borderId="0" xfId="0" applyFont="1" applyAlignment="1">
      <alignment horizontal="center"/>
    </xf>
    <xf numFmtId="0" fontId="14" fillId="0" borderId="9" xfId="0" applyFont="1" applyBorder="1" applyAlignment="1">
      <alignment horizontal="center" vertical="center" wrapText="1"/>
    </xf>
    <xf numFmtId="0" fontId="14" fillId="0" borderId="8"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6" xfId="0" applyFont="1" applyBorder="1" applyAlignment="1">
      <alignment horizontal="center" vertical="center" wrapText="1"/>
    </xf>
    <xf numFmtId="0" fontId="15" fillId="0" borderId="9" xfId="0" applyFont="1" applyBorder="1" applyAlignment="1">
      <alignment horizontal="center" vertical="center" wrapText="1"/>
    </xf>
    <xf numFmtId="0" fontId="15" fillId="0" borderId="2" xfId="0" applyFont="1" applyBorder="1" applyAlignment="1">
      <alignment horizontal="center" vertical="center" wrapText="1"/>
    </xf>
    <xf numFmtId="0" fontId="15" fillId="0" borderId="8"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9" xfId="0" applyFont="1" applyBorder="1" applyAlignment="1">
      <alignment horizontal="center" vertical="center" wrapText="1"/>
    </xf>
    <xf numFmtId="0" fontId="15" fillId="0" borderId="6" xfId="0" applyFont="1" applyBorder="1" applyAlignment="1">
      <alignment horizontal="center" vertical="center" wrapText="1"/>
    </xf>
    <xf numFmtId="0" fontId="14" fillId="0" borderId="5" xfId="0" applyFont="1" applyBorder="1" applyAlignment="1">
      <alignment horizontal="right" vertical="center"/>
    </xf>
    <xf numFmtId="0" fontId="14" fillId="0" borderId="4" xfId="0" applyFont="1" applyBorder="1" applyAlignment="1">
      <alignment horizontal="right" vertical="center"/>
    </xf>
    <xf numFmtId="165" fontId="14" fillId="0" borderId="5" xfId="0" applyNumberFormat="1" applyFont="1" applyBorder="1" applyAlignment="1">
      <alignment horizontal="center" vertical="center"/>
    </xf>
    <xf numFmtId="165" fontId="14" fillId="0" borderId="4" xfId="0" applyNumberFormat="1" applyFont="1" applyBorder="1" applyAlignment="1">
      <alignment horizontal="center" vertical="center"/>
    </xf>
    <xf numFmtId="0" fontId="14" fillId="0" borderId="5" xfId="0" applyFont="1" applyBorder="1" applyAlignment="1">
      <alignment horizontal="center" vertical="center"/>
    </xf>
    <xf numFmtId="0" fontId="14" fillId="0" borderId="4" xfId="0" applyFont="1" applyBorder="1" applyAlignment="1">
      <alignment horizontal="center" vertical="center"/>
    </xf>
    <xf numFmtId="0" fontId="19" fillId="0" borderId="59" xfId="0" applyFont="1" applyBorder="1" applyAlignment="1">
      <alignment horizontal="right" indent="1"/>
    </xf>
    <xf numFmtId="0" fontId="19" fillId="0" borderId="0" xfId="0" applyFont="1" applyAlignment="1">
      <alignment horizontal="right" indent="1"/>
    </xf>
    <xf numFmtId="0" fontId="37" fillId="0" borderId="0" xfId="0" applyFont="1" applyAlignment="1">
      <alignment horizontal="left"/>
    </xf>
    <xf numFmtId="0" fontId="37" fillId="0" borderId="70" xfId="0" applyFont="1" applyBorder="1" applyAlignment="1">
      <alignment horizontal="left"/>
    </xf>
    <xf numFmtId="167" fontId="16" fillId="0" borderId="0" xfId="0" applyNumberFormat="1" applyFont="1" applyAlignment="1">
      <alignment horizontal="left"/>
    </xf>
    <xf numFmtId="167" fontId="16" fillId="0" borderId="70" xfId="0" applyNumberFormat="1" applyFont="1" applyBorder="1" applyAlignment="1">
      <alignment horizontal="left"/>
    </xf>
    <xf numFmtId="0" fontId="14" fillId="0" borderId="3" xfId="0" applyFont="1" applyBorder="1" applyAlignment="1">
      <alignment horizontal="center" wrapText="1"/>
    </xf>
    <xf numFmtId="0" fontId="14" fillId="0" borderId="11" xfId="0" applyFont="1" applyBorder="1" applyAlignment="1">
      <alignment horizontal="center"/>
    </xf>
    <xf numFmtId="0" fontId="19" fillId="0" borderId="7" xfId="0" applyFont="1" applyBorder="1" applyAlignment="1">
      <alignment horizontal="right" indent="1"/>
    </xf>
    <xf numFmtId="0" fontId="19" fillId="0" borderId="19" xfId="0" applyFont="1" applyBorder="1" applyAlignment="1">
      <alignment horizontal="right" indent="1"/>
    </xf>
    <xf numFmtId="0" fontId="16" fillId="0" borderId="19" xfId="0" applyFont="1" applyBorder="1" applyAlignment="1">
      <alignment horizontal="left"/>
    </xf>
    <xf numFmtId="0" fontId="16" fillId="0" borderId="6" xfId="0" applyFont="1" applyBorder="1" applyAlignment="1">
      <alignment horizontal="left"/>
    </xf>
    <xf numFmtId="0" fontId="19" fillId="0" borderId="7" xfId="0" applyFont="1" applyBorder="1" applyAlignment="1">
      <alignment horizontal="center"/>
    </xf>
    <xf numFmtId="0" fontId="19" fillId="0" borderId="19" xfId="0" applyFont="1" applyBorder="1" applyAlignment="1">
      <alignment horizontal="center"/>
    </xf>
    <xf numFmtId="0" fontId="19" fillId="0" borderId="6" xfId="0" applyFont="1" applyBorder="1" applyAlignment="1">
      <alignment horizontal="center"/>
    </xf>
    <xf numFmtId="0" fontId="14" fillId="8" borderId="19" xfId="0" applyFont="1" applyFill="1" applyBorder="1" applyAlignment="1">
      <alignment horizontal="center"/>
    </xf>
    <xf numFmtId="0" fontId="14" fillId="0" borderId="11" xfId="0" applyFont="1" applyBorder="1" applyAlignment="1">
      <alignment horizontal="center" vertical="center" wrapText="1"/>
    </xf>
    <xf numFmtId="0" fontId="37" fillId="0" borderId="3" xfId="0" applyFont="1" applyBorder="1" applyAlignment="1">
      <alignment horizontal="center" vertical="center" wrapText="1"/>
    </xf>
    <xf numFmtId="0" fontId="37" fillId="0" borderId="11" xfId="0" applyFont="1" applyBorder="1" applyAlignment="1">
      <alignment horizontal="center" vertical="center" wrapText="1"/>
    </xf>
    <xf numFmtId="0" fontId="14" fillId="0" borderId="3" xfId="0" applyFont="1" applyBorder="1" applyAlignment="1">
      <alignment horizontal="center"/>
    </xf>
    <xf numFmtId="0" fontId="50" fillId="0" borderId="0" xfId="0" applyFont="1" applyAlignment="1">
      <alignment horizontal="center" vertical="center"/>
    </xf>
    <xf numFmtId="0" fontId="16" fillId="0" borderId="0" xfId="0" applyFont="1" applyAlignment="1">
      <alignment horizontal="left"/>
    </xf>
    <xf numFmtId="0" fontId="16" fillId="0" borderId="70" xfId="0" applyFont="1" applyBorder="1" applyAlignment="1">
      <alignment horizontal="left"/>
    </xf>
    <xf numFmtId="0" fontId="19" fillId="0" borderId="9" xfId="0" applyFont="1" applyBorder="1" applyAlignment="1">
      <alignment horizontal="right" indent="1"/>
    </xf>
    <xf numFmtId="0" fontId="19" fillId="0" borderId="2" xfId="0" applyFont="1" applyBorder="1" applyAlignment="1">
      <alignment horizontal="right" indent="1"/>
    </xf>
    <xf numFmtId="0" fontId="16" fillId="0" borderId="2" xfId="0" applyFont="1" applyBorder="1" applyAlignment="1">
      <alignment horizontal="left"/>
    </xf>
    <xf numFmtId="0" fontId="16" fillId="0" borderId="8" xfId="0" applyFont="1" applyBorder="1" applyAlignment="1">
      <alignment horizontal="left"/>
    </xf>
    <xf numFmtId="0" fontId="14" fillId="0" borderId="0" xfId="0" applyFont="1" applyAlignment="1">
      <alignment horizontal="center" vertical="center"/>
    </xf>
    <xf numFmtId="0" fontId="52" fillId="0" borderId="26"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27" xfId="0" applyFont="1" applyBorder="1" applyAlignment="1">
      <alignment horizontal="center" vertical="center" wrapText="1"/>
    </xf>
    <xf numFmtId="0" fontId="53" fillId="7" borderId="63" xfId="0" applyFont="1" applyFill="1" applyBorder="1" applyAlignment="1">
      <alignment horizontal="center" vertical="center" wrapText="1"/>
    </xf>
    <xf numFmtId="0" fontId="53" fillId="7" borderId="66" xfId="0" applyFont="1" applyFill="1" applyBorder="1" applyAlignment="1">
      <alignment horizontal="center" vertical="center" wrapText="1"/>
    </xf>
    <xf numFmtId="0" fontId="53" fillId="7" borderId="69" xfId="0" applyFont="1" applyFill="1" applyBorder="1" applyAlignment="1">
      <alignment horizontal="center" vertical="center" wrapText="1"/>
    </xf>
    <xf numFmtId="0" fontId="53" fillId="7" borderId="26" xfId="0" applyFont="1" applyFill="1" applyBorder="1" applyAlignment="1">
      <alignment horizontal="center" vertical="center" wrapText="1"/>
    </xf>
    <xf numFmtId="0" fontId="53" fillId="7" borderId="27" xfId="0" applyFont="1" applyFill="1" applyBorder="1" applyAlignment="1">
      <alignment horizontal="center" vertical="center" wrapText="1"/>
    </xf>
    <xf numFmtId="0" fontId="53" fillId="7" borderId="22" xfId="0" applyFont="1" applyFill="1" applyBorder="1" applyAlignment="1">
      <alignment horizontal="center" vertical="center" wrapText="1"/>
    </xf>
    <xf numFmtId="0" fontId="53" fillId="7" borderId="28" xfId="0" applyFont="1" applyFill="1" applyBorder="1" applyAlignment="1">
      <alignment horizontal="center" vertical="center" wrapText="1"/>
    </xf>
    <xf numFmtId="0" fontId="3" fillId="0" borderId="0" xfId="0" applyFont="1" applyAlignment="1">
      <alignment horizontal="center"/>
    </xf>
    <xf numFmtId="0" fontId="53" fillId="7" borderId="49" xfId="0" applyFont="1" applyFill="1" applyBorder="1" applyAlignment="1">
      <alignment vertical="center" wrapText="1"/>
    </xf>
    <xf numFmtId="0" fontId="53" fillId="7" borderId="64" xfId="0" applyFont="1" applyFill="1" applyBorder="1" applyAlignment="1">
      <alignment vertical="center" wrapText="1"/>
    </xf>
    <xf numFmtId="0" fontId="53" fillId="7" borderId="65" xfId="0" applyFont="1" applyFill="1" applyBorder="1" applyAlignment="1">
      <alignment vertical="center" wrapText="1"/>
    </xf>
    <xf numFmtId="0" fontId="28" fillId="7" borderId="49" xfId="0" applyFont="1" applyFill="1" applyBorder="1" applyAlignment="1">
      <alignment vertical="top" wrapText="1"/>
    </xf>
    <xf numFmtId="0" fontId="28" fillId="7" borderId="64" xfId="0" applyFont="1" applyFill="1" applyBorder="1" applyAlignment="1">
      <alignment vertical="top" wrapText="1"/>
    </xf>
    <xf numFmtId="0" fontId="28" fillId="7" borderId="65" xfId="0" applyFont="1" applyFill="1" applyBorder="1" applyAlignment="1">
      <alignment vertical="top" wrapText="1"/>
    </xf>
    <xf numFmtId="0" fontId="1" fillId="0" borderId="26" xfId="0" applyFont="1" applyBorder="1" applyAlignment="1">
      <alignment horizontal="left" vertical="top" wrapText="1"/>
    </xf>
    <xf numFmtId="0" fontId="1" fillId="0" borderId="1" xfId="0" applyFont="1" applyBorder="1" applyAlignment="1">
      <alignment horizontal="left" vertical="top" wrapText="1"/>
    </xf>
    <xf numFmtId="0" fontId="1" fillId="0" borderId="27" xfId="0" applyFont="1" applyBorder="1" applyAlignment="1">
      <alignment horizontal="left" vertical="top" wrapText="1"/>
    </xf>
    <xf numFmtId="0" fontId="1" fillId="0" borderId="22" xfId="0" applyFont="1" applyBorder="1" applyAlignment="1">
      <alignment horizontal="left" vertical="top" wrapText="1"/>
    </xf>
    <xf numFmtId="0" fontId="1" fillId="0" borderId="23" xfId="0" applyFont="1" applyBorder="1" applyAlignment="1">
      <alignment horizontal="left" vertical="top" wrapText="1"/>
    </xf>
    <xf numFmtId="0" fontId="1" fillId="0" borderId="28" xfId="0" applyFont="1" applyBorder="1" applyAlignment="1">
      <alignment horizontal="left" vertical="top" wrapText="1"/>
    </xf>
    <xf numFmtId="0" fontId="1" fillId="0" borderId="61" xfId="0" applyFont="1" applyBorder="1" applyAlignment="1">
      <alignment horizontal="center" wrapText="1"/>
    </xf>
  </cellXfs>
  <cellStyles count="4">
    <cellStyle name="Hyperlink" xfId="3" builtinId="8"/>
    <cellStyle name="Normal" xfId="0" builtinId="0"/>
    <cellStyle name="Normal 2" xfId="2" xr:uid="{33F956DF-DACB-4E03-995D-0444AA0AF304}"/>
    <cellStyle name="Percent" xfId="1" builtinId="5"/>
  </cellStyles>
  <dxfs count="341">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fill>
        <patternFill patternType="solid">
          <fgColor indexed="64"/>
          <bgColor rgb="FFFFCDCD"/>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fill>
        <patternFill patternType="solid">
          <fgColor indexed="64"/>
          <bgColor rgb="FFFFCDCD"/>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fill>
        <patternFill patternType="solid">
          <fgColor indexed="64"/>
          <bgColor rgb="FFFFCDCD"/>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Calibri"/>
        <family val="2"/>
        <scheme val="minor"/>
      </font>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fill>
        <patternFill patternType="solid">
          <fgColor indexed="64"/>
          <bgColor rgb="FFFFCDCD"/>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FFCDCD"/>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rgb="FFFFCDCD"/>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font>
      <fill>
        <patternFill patternType="none">
          <fgColor indexed="64"/>
          <bgColor auto="1"/>
        </patternFill>
      </fill>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border>
        <top style="thin">
          <color auto="1"/>
        </top>
        <vertical/>
        <horizontal/>
      </border>
    </dxf>
    <dxf>
      <border>
        <top style="thin">
          <color auto="1"/>
        </top>
        <vertical/>
        <horizontal/>
      </border>
    </dxf>
    <dxf>
      <fill>
        <patternFill>
          <bgColor rgb="FFDA9694"/>
        </patternFill>
      </fill>
    </dxf>
    <dxf>
      <fill>
        <patternFill>
          <bgColor theme="9" tint="0.39994506668294322"/>
        </patternFill>
      </fill>
    </dxf>
    <dxf>
      <fill>
        <patternFill>
          <bgColor theme="8" tint="0.59996337778862885"/>
        </patternFill>
      </fill>
    </dxf>
    <dxf>
      <fill>
        <patternFill>
          <bgColor rgb="FFDA9694"/>
        </patternFill>
      </fill>
    </dxf>
    <dxf>
      <fill>
        <patternFill>
          <bgColor theme="9" tint="0.39994506668294322"/>
        </patternFill>
      </fill>
    </dxf>
    <dxf>
      <fill>
        <patternFill>
          <bgColor theme="8" tint="0.59996337778862885"/>
        </patternFill>
      </fill>
    </dxf>
    <dxf>
      <font>
        <color rgb="FF9C5700"/>
      </font>
      <fill>
        <patternFill>
          <bgColor rgb="FFFFEB9C"/>
        </patternFill>
      </fill>
    </dxf>
    <dxf>
      <font>
        <color rgb="FF9C5700"/>
      </font>
      <fill>
        <patternFill>
          <bgColor rgb="FFFFEB9C"/>
        </patternFill>
      </fill>
    </dxf>
    <dxf>
      <fill>
        <patternFill>
          <bgColor theme="8" tint="0.59996337778862885"/>
        </patternFill>
      </fill>
    </dxf>
    <dxf>
      <fill>
        <patternFill>
          <bgColor theme="9" tint="0.39994506668294322"/>
        </patternFill>
      </fill>
    </dxf>
    <dxf>
      <fill>
        <patternFill>
          <bgColor theme="1"/>
        </patternFill>
      </fill>
      <border>
        <left style="thin">
          <color theme="0"/>
        </left>
        <right style="thin">
          <color theme="0"/>
        </right>
        <top style="thin">
          <color theme="0"/>
        </top>
        <bottom style="thin">
          <color theme="0"/>
        </bottom>
      </border>
    </dxf>
    <dxf>
      <border>
        <top style="thin">
          <color auto="1"/>
        </top>
        <vertical/>
        <horizontal/>
      </border>
    </dxf>
    <dxf>
      <fill>
        <patternFill>
          <bgColor theme="8" tint="0.59996337778862885"/>
        </patternFill>
      </fill>
    </dxf>
    <dxf>
      <fill>
        <patternFill>
          <bgColor theme="9" tint="0.39994506668294322"/>
        </patternFill>
      </fill>
    </dxf>
    <dxf>
      <fill>
        <patternFill>
          <bgColor theme="8" tint="0.59996337778862885"/>
        </patternFill>
      </fill>
    </dxf>
    <dxf>
      <fill>
        <patternFill>
          <bgColor theme="9" tint="0.39994506668294322"/>
        </patternFill>
      </fill>
    </dxf>
    <dxf>
      <font>
        <color theme="0"/>
      </font>
    </dxf>
    <dxf>
      <fill>
        <patternFill>
          <bgColor theme="1"/>
        </patternFill>
      </fill>
    </dxf>
    <dxf>
      <border>
        <top/>
        <vertical/>
        <horizontal/>
      </border>
    </dxf>
    <dxf>
      <fill>
        <patternFill>
          <bgColor theme="9" tint="0.59996337778862885"/>
        </patternFill>
      </fill>
    </dxf>
    <dxf>
      <fill>
        <patternFill>
          <bgColor theme="8" tint="0.59996337778862885"/>
        </patternFill>
      </fill>
    </dxf>
    <dxf>
      <fill>
        <patternFill>
          <bgColor theme="9" tint="0.39994506668294322"/>
        </patternFill>
      </fill>
    </dxf>
    <dxf>
      <fill>
        <patternFill>
          <bgColor theme="8" tint="0.59996337778862885"/>
        </patternFill>
      </fill>
    </dxf>
    <dxf>
      <fill>
        <patternFill>
          <bgColor rgb="FFDA9694"/>
        </patternFill>
      </fill>
    </dxf>
    <dxf>
      <fill>
        <patternFill>
          <bgColor theme="0"/>
        </patternFill>
      </fill>
    </dxf>
    <dxf>
      <fill>
        <patternFill>
          <bgColor rgb="FFBDD7EE"/>
        </patternFill>
      </fill>
    </dxf>
    <dxf>
      <fill>
        <patternFill>
          <bgColor theme="9" tint="0.39994506668294322"/>
        </patternFill>
      </fill>
    </dxf>
    <dxf>
      <fill>
        <patternFill>
          <bgColor rgb="FFBDD7EE"/>
        </patternFill>
      </fill>
    </dxf>
    <dxf>
      <fill>
        <patternFill>
          <bgColor theme="9" tint="0.39994506668294322"/>
        </patternFill>
      </fill>
    </dxf>
    <dxf>
      <fill>
        <patternFill>
          <bgColor rgb="FFBDD7EE"/>
        </patternFill>
      </fill>
    </dxf>
    <dxf>
      <fill>
        <patternFill>
          <bgColor theme="9" tint="0.39994506668294322"/>
        </patternFill>
      </fill>
    </dxf>
    <dxf>
      <fill>
        <patternFill>
          <bgColor rgb="FFBDD7EE"/>
        </patternFill>
      </fill>
    </dxf>
    <dxf>
      <fill>
        <patternFill>
          <bgColor theme="9" tint="0.39994506668294322"/>
        </patternFill>
      </fill>
    </dxf>
    <dxf>
      <fill>
        <patternFill>
          <bgColor rgb="FFBDD7EE"/>
        </patternFill>
      </fill>
    </dxf>
    <dxf>
      <fill>
        <patternFill>
          <bgColor rgb="FFA9D08E"/>
        </patternFill>
      </fill>
    </dxf>
    <dxf>
      <fill>
        <patternFill>
          <bgColor rgb="FFDA9694"/>
        </patternFill>
      </fill>
    </dxf>
    <dxf>
      <fill>
        <patternFill>
          <bgColor theme="1"/>
        </patternFill>
      </fill>
      <border>
        <left style="thin">
          <color theme="0"/>
        </left>
        <right style="thin">
          <color theme="0"/>
        </right>
        <top style="thin">
          <color theme="0"/>
        </top>
        <bottom style="thin">
          <color theme="0"/>
        </bottom>
        <vertical/>
        <horizontal/>
      </border>
    </dxf>
    <dxf>
      <fill>
        <patternFill>
          <bgColor rgb="FFDA9694"/>
        </patternFill>
      </fill>
    </dxf>
    <dxf>
      <fill>
        <patternFill>
          <bgColor theme="9" tint="0.39994506668294322"/>
        </patternFill>
      </fill>
    </dxf>
    <dxf>
      <fill>
        <patternFill>
          <bgColor theme="8" tint="0.59996337778862885"/>
        </patternFill>
      </fill>
    </dxf>
    <dxf>
      <font>
        <color rgb="FF9C5700"/>
      </font>
      <fill>
        <patternFill>
          <bgColor rgb="FFFFEB9C"/>
        </patternFill>
      </fill>
    </dxf>
    <dxf>
      <border>
        <top style="thin">
          <color auto="1"/>
        </top>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border>
    </dxf>
    <dxf>
      <fill>
        <patternFill>
          <bgColor theme="0"/>
        </patternFill>
      </fill>
    </dxf>
    <dxf>
      <fill>
        <patternFill>
          <bgColor theme="0"/>
        </patternFill>
      </fill>
      <border>
        <left style="thin">
          <color auto="1"/>
        </left>
        <right style="thin">
          <color auto="1"/>
        </right>
        <top style="thin">
          <color auto="1"/>
        </top>
        <bottom style="thin">
          <color auto="1"/>
        </bottom>
      </border>
    </dxf>
    <dxf>
      <fill>
        <patternFill>
          <bgColor theme="1"/>
        </patternFill>
      </fill>
      <border>
        <left style="thin">
          <color theme="0"/>
        </left>
        <right style="thin">
          <color theme="0"/>
        </right>
        <top style="thin">
          <color theme="0"/>
        </top>
        <bottom style="thin">
          <color theme="0"/>
        </bottom>
      </border>
    </dxf>
    <dxf>
      <fill>
        <patternFill>
          <bgColor theme="9" tint="0.39994506668294322"/>
        </patternFill>
      </fill>
    </dxf>
    <dxf>
      <fill>
        <patternFill>
          <bgColor theme="8" tint="0.59996337778862885"/>
        </patternFill>
      </fill>
    </dxf>
    <dxf>
      <fill>
        <patternFill>
          <bgColor rgb="FFDA9694"/>
        </patternFill>
      </fill>
    </dxf>
    <dxf>
      <fill>
        <patternFill>
          <bgColor theme="9" tint="0.39994506668294322"/>
        </patternFill>
      </fill>
    </dxf>
    <dxf>
      <fill>
        <patternFill>
          <bgColor theme="8" tint="0.59996337778862885"/>
        </patternFill>
      </fill>
    </dxf>
    <dxf>
      <font>
        <color rgb="FF9C5700"/>
      </font>
      <fill>
        <patternFill>
          <bgColor rgb="FFFFEB9C"/>
        </patternFill>
      </fill>
    </dxf>
    <dxf>
      <font>
        <color rgb="FF9C5700"/>
      </font>
      <fill>
        <patternFill>
          <bgColor rgb="FFFFEB9C"/>
        </patternFill>
      </fill>
    </dxf>
    <dxf>
      <fill>
        <patternFill>
          <bgColor theme="0"/>
        </patternFill>
      </fill>
    </dxf>
    <dxf>
      <fill>
        <patternFill>
          <bgColor theme="9" tint="0.39994506668294322"/>
        </patternFill>
      </fill>
    </dxf>
    <dxf>
      <fill>
        <patternFill>
          <bgColor theme="8" tint="0.59996337778862885"/>
        </patternFill>
      </fill>
    </dxf>
    <dxf>
      <font>
        <color rgb="FFC00000"/>
      </font>
      <fill>
        <patternFill>
          <bgColor theme="0"/>
        </patternFill>
      </fill>
    </dxf>
    <dxf>
      <font>
        <color rgb="FF9C5700"/>
      </font>
      <fill>
        <patternFill>
          <bgColor rgb="FFFFEB9C"/>
        </patternFill>
      </fill>
    </dxf>
    <dxf>
      <border>
        <top style="thin">
          <color auto="1"/>
        </top>
        <vertical/>
        <horizontal/>
      </border>
    </dxf>
    <dxf>
      <fill>
        <patternFill>
          <bgColor theme="9" tint="0.39994506668294322"/>
        </patternFill>
      </fill>
    </dxf>
    <dxf>
      <fill>
        <patternFill>
          <bgColor theme="8" tint="0.59996337778862885"/>
        </patternFill>
      </fill>
    </dxf>
    <dxf>
      <font>
        <b/>
        <i val="0"/>
        <color rgb="FFFF0000"/>
      </font>
    </dxf>
    <dxf>
      <font>
        <color auto="1"/>
      </font>
      <fill>
        <patternFill>
          <bgColor theme="0"/>
        </patternFill>
      </fill>
    </dxf>
    <dxf>
      <fill>
        <patternFill>
          <bgColor rgb="FFFFCDCD"/>
        </patternFill>
      </fill>
      <border>
        <left style="thin">
          <color rgb="FFFF0000"/>
        </left>
        <right style="thin">
          <color rgb="FFFF0000"/>
        </right>
        <top style="thin">
          <color rgb="FFFF0000"/>
        </top>
        <bottom style="thin">
          <color rgb="FFFF0000"/>
        </bottom>
      </border>
    </dxf>
    <dxf>
      <font>
        <color rgb="FFFF0000"/>
      </font>
      <fill>
        <patternFill patternType="solid">
          <fgColor auto="1"/>
          <bgColor theme="0"/>
        </patternFill>
      </fill>
      <border>
        <left style="thin">
          <color rgb="FFFF0000"/>
        </left>
        <right style="thin">
          <color rgb="FFFF0000"/>
        </right>
        <top style="thin">
          <color rgb="FFFF0000"/>
        </top>
        <bottom style="thin">
          <color rgb="FFFF0000"/>
        </bottom>
      </border>
    </dxf>
    <dxf>
      <font>
        <b/>
        <i val="0"/>
        <color theme="0"/>
      </font>
      <fill>
        <patternFill>
          <bgColor rgb="FF0070C0"/>
        </patternFill>
      </fill>
    </dxf>
    <dxf>
      <fill>
        <patternFill>
          <bgColor theme="8" tint="0.59996337778862885"/>
        </patternFill>
      </fill>
    </dxf>
    <dxf>
      <fill>
        <patternFill>
          <bgColor theme="0"/>
        </patternFill>
      </fill>
    </dxf>
    <dxf>
      <font>
        <color rgb="FFFF0000"/>
      </font>
      <fill>
        <patternFill patternType="solid">
          <fgColor auto="1"/>
          <bgColor theme="0"/>
        </patternFill>
      </fill>
      <border>
        <left style="thin">
          <color rgb="FFFF0000"/>
        </left>
        <right style="thin">
          <color rgb="FFFF0000"/>
        </right>
        <top style="thin">
          <color rgb="FFFF0000"/>
        </top>
        <bottom style="thin">
          <color rgb="FFFF0000"/>
        </bottom>
      </border>
    </dxf>
    <dxf>
      <fill>
        <patternFill>
          <bgColor rgb="FFFFCDCD"/>
        </patternFill>
      </fill>
      <border>
        <left style="thin">
          <color rgb="FFFF0000"/>
        </left>
        <right style="thin">
          <color rgb="FFFF0000"/>
        </right>
        <top style="thin">
          <color rgb="FFFF0000"/>
        </top>
        <bottom style="thin">
          <color rgb="FFFF0000"/>
        </bottom>
      </border>
    </dxf>
    <dxf>
      <font>
        <color rgb="FFFF0000"/>
      </font>
      <fill>
        <patternFill patternType="solid">
          <fgColor auto="1"/>
          <bgColor theme="0"/>
        </patternFill>
      </fill>
      <border>
        <left style="thin">
          <color rgb="FFFF0000"/>
        </left>
        <right style="thin">
          <color rgb="FFFF0000"/>
        </right>
        <top style="thin">
          <color rgb="FFFF0000"/>
        </top>
        <bottom style="thin">
          <color rgb="FFFF0000"/>
        </bottom>
      </border>
    </dxf>
    <dxf>
      <font>
        <b/>
        <i val="0"/>
        <color rgb="FFFF0000"/>
      </font>
    </dxf>
    <dxf>
      <font>
        <b/>
        <i val="0"/>
        <color theme="0"/>
      </font>
      <fill>
        <patternFill>
          <bgColor rgb="FF0070C0"/>
        </patternFill>
      </fill>
    </dxf>
    <dxf>
      <fill>
        <patternFill>
          <bgColor theme="0"/>
        </patternFill>
      </fill>
    </dxf>
    <dxf>
      <fill>
        <patternFill>
          <bgColor theme="8" tint="0.59996337778862885"/>
        </patternFill>
      </fill>
    </dxf>
    <dxf>
      <fill>
        <patternFill>
          <bgColor theme="7" tint="0.59996337778862885"/>
        </patternFill>
      </fill>
    </dxf>
    <dxf>
      <font>
        <b/>
        <i val="0"/>
        <color rgb="FFFF0000"/>
      </font>
    </dxf>
    <dxf>
      <font>
        <color auto="1"/>
      </font>
      <fill>
        <patternFill>
          <bgColor theme="0"/>
        </patternFill>
      </fill>
    </dxf>
    <dxf>
      <fill>
        <patternFill>
          <bgColor rgb="FFFFCDCD"/>
        </patternFill>
      </fill>
      <border>
        <left style="thin">
          <color rgb="FFFF0000"/>
        </left>
        <right style="thin">
          <color rgb="FFFF0000"/>
        </right>
        <top style="thin">
          <color rgb="FFFF0000"/>
        </top>
        <bottom style="thin">
          <color rgb="FFFF0000"/>
        </bottom>
      </border>
    </dxf>
    <dxf>
      <font>
        <color rgb="FFFF0000"/>
      </font>
      <fill>
        <patternFill patternType="solid">
          <fgColor auto="1"/>
          <bgColor theme="0"/>
        </patternFill>
      </fill>
      <border>
        <left style="thin">
          <color rgb="FFFF0000"/>
        </left>
        <right style="thin">
          <color rgb="FFFF0000"/>
        </right>
        <top style="thin">
          <color rgb="FFFF0000"/>
        </top>
        <bottom style="thin">
          <color rgb="FFFF0000"/>
        </bottom>
      </border>
    </dxf>
    <dxf>
      <fill>
        <patternFill>
          <bgColor theme="0"/>
        </patternFill>
      </fill>
    </dxf>
    <dxf>
      <font>
        <color rgb="FFFF0000"/>
      </font>
      <fill>
        <patternFill patternType="solid">
          <fgColor auto="1"/>
          <bgColor theme="0"/>
        </patternFill>
      </fill>
      <border>
        <left style="thin">
          <color rgb="FFFF0000"/>
        </left>
        <right style="thin">
          <color rgb="FFFF0000"/>
        </right>
        <top style="thin">
          <color rgb="FFFF0000"/>
        </top>
        <bottom style="thin">
          <color rgb="FFFF0000"/>
        </bottom>
      </border>
    </dxf>
    <dxf>
      <fill>
        <patternFill>
          <bgColor rgb="FFFFCDCD"/>
        </patternFill>
      </fill>
      <border>
        <left style="thin">
          <color rgb="FFFF0000"/>
        </left>
        <right style="thin">
          <color rgb="FFFF0000"/>
        </right>
        <top style="thin">
          <color rgb="FFFF0000"/>
        </top>
        <bottom style="thin">
          <color rgb="FFFF0000"/>
        </bottom>
      </border>
    </dxf>
    <dxf>
      <font>
        <color rgb="FFFF0000"/>
      </font>
      <fill>
        <patternFill patternType="solid">
          <fgColor auto="1"/>
          <bgColor theme="0"/>
        </patternFill>
      </fill>
      <border>
        <left style="thin">
          <color rgb="FFFF0000"/>
        </left>
        <right style="thin">
          <color rgb="FFFF0000"/>
        </right>
        <top style="thin">
          <color rgb="FFFF0000"/>
        </top>
        <bottom style="thin">
          <color rgb="FFFF0000"/>
        </bottom>
      </border>
    </dxf>
    <dxf>
      <font>
        <b/>
        <i val="0"/>
        <color rgb="FFFF0000"/>
      </font>
    </dxf>
    <dxf>
      <font>
        <b/>
        <i val="0"/>
        <color theme="0"/>
      </font>
      <fill>
        <patternFill>
          <bgColor rgb="FF00B050"/>
        </patternFill>
      </fill>
    </dxf>
    <dxf>
      <fill>
        <patternFill>
          <bgColor theme="0"/>
        </patternFill>
      </fill>
    </dxf>
    <dxf>
      <fill>
        <patternFill>
          <bgColor theme="9" tint="0.39994506668294322"/>
        </patternFill>
      </fill>
    </dxf>
    <dxf>
      <fill>
        <patternFill>
          <bgColor theme="7" tint="0.59996337778862885"/>
        </patternFill>
      </fill>
    </dxf>
    <dxf>
      <font>
        <b/>
        <i val="0"/>
        <color rgb="FFFF0000"/>
      </font>
    </dxf>
    <dxf>
      <font>
        <color auto="1"/>
      </font>
      <fill>
        <patternFill>
          <bgColor theme="0"/>
        </patternFill>
      </fill>
    </dxf>
    <dxf>
      <fill>
        <patternFill>
          <bgColor rgb="FFFFCDCD"/>
        </patternFill>
      </fill>
      <border>
        <left style="thin">
          <color rgb="FFFF0000"/>
        </left>
        <right style="thin">
          <color rgb="FFFF0000"/>
        </right>
        <top style="thin">
          <color rgb="FFFF0000"/>
        </top>
        <bottom style="thin">
          <color rgb="FFFF0000"/>
        </bottom>
      </border>
    </dxf>
    <dxf>
      <font>
        <color rgb="FFFF0000"/>
      </font>
      <fill>
        <patternFill patternType="solid">
          <fgColor auto="1"/>
          <bgColor theme="0"/>
        </patternFill>
      </fill>
      <border>
        <left style="thin">
          <color rgb="FFFF0000"/>
        </left>
        <right style="thin">
          <color rgb="FFFF0000"/>
        </right>
        <top style="thin">
          <color rgb="FFFF0000"/>
        </top>
        <bottom style="thin">
          <color rgb="FFFF0000"/>
        </bottom>
      </border>
    </dxf>
    <dxf>
      <fill>
        <patternFill>
          <bgColor rgb="FFFFCDCD"/>
        </patternFill>
      </fill>
      <border>
        <left style="thin">
          <color rgb="FFFF0000"/>
        </left>
        <right style="thin">
          <color rgb="FFFF0000"/>
        </right>
        <top style="thin">
          <color rgb="FFFF0000"/>
        </top>
        <bottom style="thin">
          <color rgb="FFFF0000"/>
        </bottom>
      </border>
    </dxf>
    <dxf>
      <fill>
        <patternFill>
          <bgColor theme="0"/>
        </patternFill>
      </fill>
    </dxf>
    <dxf>
      <font>
        <color rgb="FFFF0000"/>
      </font>
      <fill>
        <patternFill patternType="solid">
          <fgColor auto="1"/>
          <bgColor theme="0"/>
        </patternFill>
      </fill>
      <border>
        <left style="thin">
          <color rgb="FFFF0000"/>
        </left>
        <right style="thin">
          <color rgb="FFFF0000"/>
        </right>
        <top style="thin">
          <color rgb="FFFF0000"/>
        </top>
        <bottom style="thin">
          <color rgb="FFFF0000"/>
        </bottom>
      </border>
    </dxf>
    <dxf>
      <font>
        <color rgb="FFFF0000"/>
      </font>
      <fill>
        <patternFill patternType="solid">
          <fgColor auto="1"/>
          <bgColor theme="0"/>
        </patternFill>
      </fill>
      <border>
        <left style="thin">
          <color rgb="FFFF0000"/>
        </left>
        <right style="thin">
          <color rgb="FFFF0000"/>
        </right>
        <top style="thin">
          <color rgb="FFFF0000"/>
        </top>
        <bottom style="thin">
          <color rgb="FFFF0000"/>
        </bottom>
      </border>
    </dxf>
    <dxf>
      <font>
        <b/>
        <i val="0"/>
        <color rgb="FFFF0000"/>
      </font>
    </dxf>
    <dxf>
      <font>
        <b/>
        <i val="0"/>
        <color theme="0"/>
      </font>
      <fill>
        <patternFill>
          <bgColor rgb="FF0070C0"/>
        </patternFill>
      </fill>
    </dxf>
    <dxf>
      <fill>
        <patternFill>
          <bgColor theme="0"/>
        </patternFill>
      </fill>
    </dxf>
    <dxf>
      <fill>
        <patternFill>
          <bgColor theme="8" tint="0.59996337778862885"/>
        </patternFill>
      </fill>
    </dxf>
    <dxf>
      <fill>
        <patternFill>
          <bgColor theme="7" tint="0.59996337778862885"/>
        </patternFill>
      </fill>
    </dxf>
    <dxf>
      <font>
        <b/>
        <i val="0"/>
        <color rgb="FFFF0000"/>
      </font>
    </dxf>
    <dxf>
      <font>
        <color auto="1"/>
      </font>
      <fill>
        <patternFill>
          <bgColor theme="0"/>
        </patternFill>
      </fill>
    </dxf>
    <dxf>
      <fill>
        <patternFill>
          <bgColor rgb="FFFFCDCD"/>
        </patternFill>
      </fill>
      <border>
        <left style="thin">
          <color rgb="FFFF0000"/>
        </left>
        <right style="thin">
          <color rgb="FFFF0000"/>
        </right>
        <top style="thin">
          <color rgb="FFFF0000"/>
        </top>
        <bottom style="thin">
          <color rgb="FFFF0000"/>
        </bottom>
      </border>
    </dxf>
    <dxf>
      <font>
        <color rgb="FFFF0000"/>
      </font>
      <fill>
        <patternFill patternType="solid">
          <fgColor auto="1"/>
          <bgColor theme="0"/>
        </patternFill>
      </fill>
      <border>
        <left style="thin">
          <color rgb="FFFF0000"/>
        </left>
        <right style="thin">
          <color rgb="FFFF0000"/>
        </right>
        <top style="thin">
          <color rgb="FFFF0000"/>
        </top>
        <bottom style="thin">
          <color rgb="FFFF0000"/>
        </bottom>
      </border>
    </dxf>
    <dxf>
      <fill>
        <patternFill>
          <bgColor theme="0"/>
        </patternFill>
      </fill>
    </dxf>
    <dxf>
      <font>
        <color rgb="FFFF0000"/>
      </font>
      <fill>
        <patternFill patternType="solid">
          <fgColor auto="1"/>
          <bgColor theme="0"/>
        </patternFill>
      </fill>
      <border>
        <left style="thin">
          <color rgb="FFFF0000"/>
        </left>
        <right style="thin">
          <color rgb="FFFF0000"/>
        </right>
        <top style="thin">
          <color rgb="FFFF0000"/>
        </top>
        <bottom style="thin">
          <color rgb="FFFF0000"/>
        </bottom>
      </border>
    </dxf>
    <dxf>
      <font>
        <color rgb="FFFF0000"/>
      </font>
      <fill>
        <patternFill patternType="solid">
          <fgColor auto="1"/>
          <bgColor theme="0"/>
        </patternFill>
      </fill>
      <border>
        <left style="thin">
          <color rgb="FFFF0000"/>
        </left>
        <right style="thin">
          <color rgb="FFFF0000"/>
        </right>
        <top style="thin">
          <color rgb="FFFF0000"/>
        </top>
        <bottom style="thin">
          <color rgb="FFFF0000"/>
        </bottom>
      </border>
    </dxf>
    <dxf>
      <fill>
        <patternFill>
          <bgColor rgb="FFFFCDCD"/>
        </patternFill>
      </fill>
      <border>
        <left style="thin">
          <color rgb="FFFF0000"/>
        </left>
        <right style="thin">
          <color rgb="FFFF0000"/>
        </right>
        <top style="thin">
          <color rgb="FFFF0000"/>
        </top>
        <bottom style="thin">
          <color rgb="FFFF0000"/>
        </bottom>
      </border>
    </dxf>
    <dxf>
      <font>
        <b/>
        <i val="0"/>
        <color rgb="FFFF0000"/>
      </font>
    </dxf>
    <dxf>
      <font>
        <b/>
        <i val="0"/>
        <color theme="0"/>
      </font>
      <fill>
        <patternFill>
          <bgColor rgb="FF00B050"/>
        </patternFill>
      </fill>
    </dxf>
    <dxf>
      <fill>
        <patternFill>
          <bgColor theme="0"/>
        </patternFill>
      </fill>
    </dxf>
    <dxf>
      <fill>
        <patternFill>
          <bgColor theme="9" tint="0.39994506668294322"/>
        </patternFill>
      </fill>
    </dxf>
    <dxf>
      <fill>
        <patternFill>
          <bgColor theme="7" tint="0.59996337778862885"/>
        </patternFill>
      </fill>
    </dxf>
    <dxf>
      <fill>
        <patternFill>
          <bgColor theme="0"/>
        </patternFill>
      </fill>
    </dxf>
    <dxf>
      <font>
        <color rgb="FF9C5700"/>
      </font>
      <fill>
        <patternFill>
          <bgColor rgb="FFFFEB9C"/>
        </patternFill>
      </fill>
    </dxf>
    <dxf>
      <fill>
        <patternFill>
          <bgColor theme="9" tint="0.39994506668294322"/>
        </patternFill>
      </fill>
    </dxf>
    <dxf>
      <fill>
        <patternFill>
          <bgColor theme="8" tint="0.59996337778862885"/>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165" formatCode="0.000"/>
      <alignment horizontal="center" vertical="bottom" textRotation="0" wrapText="0" indent="0" justifyLastLine="0" shrinkToFit="0" readingOrder="0"/>
    </dxf>
    <dxf>
      <numFmt numFmtId="168" formatCode="0.00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9" formatCode="m/d/yy"/>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165" formatCode="0.00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numFmt numFmtId="170" formatCode="m/d/yyyy"/>
      <protection locked="0" hidden="0"/>
    </dxf>
    <dxf>
      <numFmt numFmtId="170" formatCode="m/d/yyyy"/>
      <protection locked="0" hidden="0"/>
    </dxf>
    <dxf>
      <numFmt numFmtId="170" formatCode="m/d/yyyy"/>
    </dxf>
    <dxf>
      <numFmt numFmtId="165" formatCode="0.000"/>
    </dxf>
    <dxf>
      <font>
        <color rgb="FF9C0006"/>
      </font>
      <fill>
        <patternFill>
          <bgColor rgb="FFFFC7CE"/>
        </patternFill>
      </fill>
    </dxf>
    <dxf>
      <font>
        <b val="0"/>
        <i val="0"/>
        <strike val="0"/>
        <condense val="0"/>
        <extend val="0"/>
        <outline val="0"/>
        <shadow val="0"/>
        <u val="none"/>
        <vertAlign val="baseline"/>
        <sz val="18"/>
        <color theme="1"/>
        <name val="Calibri"/>
        <family val="2"/>
        <scheme val="minor"/>
      </font>
    </dxf>
    <dxf>
      <font>
        <b val="0"/>
        <i val="0"/>
        <strike val="0"/>
        <condense val="0"/>
        <extend val="0"/>
        <outline val="0"/>
        <shadow val="0"/>
        <u val="none"/>
        <vertAlign val="baseline"/>
        <sz val="18"/>
        <color theme="1"/>
        <name val="Calibri"/>
        <family val="2"/>
        <scheme val="minor"/>
      </font>
    </dxf>
    <dxf>
      <font>
        <b val="0"/>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s>
  <tableStyles count="0" defaultTableStyle="TableStyleMedium2" defaultPivotStyle="PivotStyleLight16"/>
  <colors>
    <mruColors>
      <color rgb="FFBDD7EE"/>
      <color rgb="FFDA9694"/>
      <color rgb="FFA9D08E"/>
      <color rgb="FFFFEB9C"/>
      <color rgb="FFA9D08F"/>
      <color rgb="FF519065"/>
      <color rgb="FFFFC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10/relationships/person" Target="persons/person.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5" lockText="1" noThreeD="1"/>
</file>

<file path=xl/ctrlProps/ctrlProp3.xml><?xml version="1.0" encoding="utf-8"?>
<formControlPr xmlns="http://schemas.microsoft.com/office/spreadsheetml/2009/9/main" objectType="CheckBox" fmlaLink="$H$6" lockText="1" noThreeD="1"/>
</file>

<file path=xl/ctrlProps/ctrlProp4.xml><?xml version="1.0" encoding="utf-8"?>
<formControlPr xmlns="http://schemas.microsoft.com/office/spreadsheetml/2009/9/main" objectType="CheckBox" fmlaLink="$H$7" lockText="1" noThreeD="1"/>
</file>

<file path=xl/ctrlProps/ctrlProp5.xml><?xml version="1.0" encoding="utf-8"?>
<formControlPr xmlns="http://schemas.microsoft.com/office/spreadsheetml/2009/9/main" objectType="CheckBox" checked="Checked" fmlaLink="$H$8" lockText="1" noThreeD="1"/>
</file>

<file path=xl/ctrlProps/ctrlProp6.xml><?xml version="1.0" encoding="utf-8"?>
<formControlPr xmlns="http://schemas.microsoft.com/office/spreadsheetml/2009/9/main" objectType="CheckBox" checked="Checked" fmlaLink="$H$9" lockText="1" noThreeD="1"/>
</file>

<file path=xl/ctrlProps/ctrlProp7.xml><?xml version="1.0" encoding="utf-8"?>
<formControlPr xmlns="http://schemas.microsoft.com/office/spreadsheetml/2009/9/main" objectType="CheckBox" checked="Checked" fmlaLink="$H$10" lockText="1" noThreeD="1"/>
</file>

<file path=xl/ctrlProps/ctrlProp8.xml><?xml version="1.0" encoding="utf-8"?>
<formControlPr xmlns="http://schemas.microsoft.com/office/spreadsheetml/2009/9/main" objectType="CheckBox" fmlaLink="$H$11" lockText="1" noThreeD="1"/>
</file>

<file path=xl/ctrlProps/ctrlProp9.xml><?xml version="1.0" encoding="utf-8"?>
<formControlPr xmlns="http://schemas.microsoft.com/office/spreadsheetml/2009/9/main" objectType="CheckBox" checked="Checked" fmlaLink="$H$13" lockText="1" noThreeD="1"/>
</file>

<file path=xl/ctrlProps/ctrlProp10.xml><?xml version="1.0" encoding="utf-8"?>
<formControlPr xmlns="http://schemas.microsoft.com/office/spreadsheetml/2009/9/main" objectType="CheckBox" checked="Checked" fmlaLink="$H$14" lockText="1" noThreeD="1"/>
</file>

<file path=xl/ctrlProps/ctrlProp11.xml><?xml version="1.0" encoding="utf-8"?>
<formControlPr xmlns="http://schemas.microsoft.com/office/spreadsheetml/2009/9/main" objectType="CheckBox" fmlaLink="$H$15" lockText="1" noThreeD="1"/>
</file>

<file path=xl/ctrlProps/ctrlProp12.xml><?xml version="1.0" encoding="utf-8"?>
<formControlPr xmlns="http://schemas.microsoft.com/office/spreadsheetml/2009/9/main" objectType="CheckBox" fmlaLink="$H$16" lockText="1" noThreeD="1"/>
</file>

<file path=xl/ctrlProps/ctrlProp13.xml><?xml version="1.0" encoding="utf-8"?>
<formControlPr xmlns="http://schemas.microsoft.com/office/spreadsheetml/2009/9/main" objectType="CheckBox" fmlaLink="$H$17" lockText="1" noThreeD="1"/>
</file>

<file path=xl/ctrlProps/ctrlProp14.xml><?xml version="1.0" encoding="utf-8"?>
<formControlPr xmlns="http://schemas.microsoft.com/office/spreadsheetml/2009/9/main" objectType="CheckBox" fmlaLink="$H$18" lockText="1" noThreeD="1"/>
</file>

<file path=xl/ctrlProps/ctrlProp15.xml><?xml version="1.0" encoding="utf-8"?>
<formControlPr xmlns="http://schemas.microsoft.com/office/spreadsheetml/2009/9/main" objectType="CheckBox" fmlaLink="$H$20" lockText="1" noThreeD="1"/>
</file>

<file path=xl/ctrlProps/ctrlProp16.xml><?xml version="1.0" encoding="utf-8"?>
<formControlPr xmlns="http://schemas.microsoft.com/office/spreadsheetml/2009/9/main" objectType="CheckBox" checked="Checked" fmlaLink="$H$21" lockText="1" noThreeD="1"/>
</file>

<file path=xl/ctrlProps/ctrlProp17.xml><?xml version="1.0" encoding="utf-8"?>
<formControlPr xmlns="http://schemas.microsoft.com/office/spreadsheetml/2009/9/main" objectType="CheckBox" fmlaLink="$H$22" lockText="1" noThreeD="1"/>
</file>

<file path=xl/ctrlProps/ctrlProp18.xml><?xml version="1.0" encoding="utf-8"?>
<formControlPr xmlns="http://schemas.microsoft.com/office/spreadsheetml/2009/9/main" objectType="CheckBox" fmlaLink="$H$23" lockText="1" noThreeD="1"/>
</file>

<file path=xl/ctrlProps/ctrlProp19.xml><?xml version="1.0" encoding="utf-8"?>
<formControlPr xmlns="http://schemas.microsoft.com/office/spreadsheetml/2009/9/main" objectType="CheckBox" checked="Checked" fmlaLink="$H$24" lockText="1" noThreeD="1"/>
</file>

<file path=xl/ctrlProps/ctrlProp20.xml><?xml version="1.0" encoding="utf-8"?>
<formControlPr xmlns="http://schemas.microsoft.com/office/spreadsheetml/2009/9/main" objectType="CheckBox" fmlaLink="$H$26" lockText="1" noThreeD="1"/>
</file>

<file path=xl/ctrlProps/ctrlProp21.xml><?xml version="1.0" encoding="utf-8"?>
<formControlPr xmlns="http://schemas.microsoft.com/office/spreadsheetml/2009/9/main" objectType="CheckBox" checked="Checked" fmlaLink="$H$27" lockText="1" noThreeD="1"/>
</file>

<file path=xl/ctrlProps/ctrlProp22.xml><?xml version="1.0" encoding="utf-8"?>
<formControlPr xmlns="http://schemas.microsoft.com/office/spreadsheetml/2009/9/main" objectType="CheckBox" fmlaLink="$H$28" lockText="1" noThreeD="1"/>
</file>

<file path=xl/ctrlProps/ctrlProp23.xml><?xml version="1.0" encoding="utf-8"?>
<formControlPr xmlns="http://schemas.microsoft.com/office/spreadsheetml/2009/9/main" objectType="CheckBox" fmlaLink="$H$29" lockText="1" noThreeD="1"/>
</file>

<file path=xl/ctrlProps/ctrlProp24.xml><?xml version="1.0" encoding="utf-8"?>
<formControlPr xmlns="http://schemas.microsoft.com/office/spreadsheetml/2009/9/main" objectType="CheckBox" fmlaLink="$H$30" lockText="1" noThreeD="1"/>
</file>

<file path=xl/ctrlProps/ctrlProp25.xml><?xml version="1.0" encoding="utf-8"?>
<formControlPr xmlns="http://schemas.microsoft.com/office/spreadsheetml/2009/9/main" objectType="CheckBox" fmlaLink="$H$32" lockText="1" noThreeD="1"/>
</file>

<file path=xl/ctrlProps/ctrlProp26.xml><?xml version="1.0" encoding="utf-8"?>
<formControlPr xmlns="http://schemas.microsoft.com/office/spreadsheetml/2009/9/main" objectType="CheckBox" fmlaLink="$H$33" lockText="1" noThreeD="1"/>
</file>

<file path=xl/ctrlProps/ctrlProp27.xml><?xml version="1.0" encoding="utf-8"?>
<formControlPr xmlns="http://schemas.microsoft.com/office/spreadsheetml/2009/9/main" objectType="CheckBox" checked="Checked" fmlaLink="$H$34" lockText="1" noThreeD="1"/>
</file>

<file path=xl/ctrlProps/ctrlProp28.xml><?xml version="1.0" encoding="utf-8"?>
<formControlPr xmlns="http://schemas.microsoft.com/office/spreadsheetml/2009/9/main" objectType="CheckBox" fmlaLink="$H$35" lockText="1" noThreeD="1"/>
</file>

<file path=xl/ctrlProps/ctrlProp29.xml><?xml version="1.0" encoding="utf-8"?>
<formControlPr xmlns="http://schemas.microsoft.com/office/spreadsheetml/2009/9/main" objectType="CheckBox" checked="Checked" fmlaLink="$H$36" lockText="1" noThreeD="1"/>
</file>

<file path=xl/ctrlProps/ctrlProp30.xml><?xml version="1.0" encoding="utf-8"?>
<formControlPr xmlns="http://schemas.microsoft.com/office/spreadsheetml/2009/9/main" objectType="CheckBox" fmlaLink="$H$38" lockText="1" noThreeD="1"/>
</file>

<file path=xl/ctrlProps/ctrlProp31.xml><?xml version="1.0" encoding="utf-8"?>
<formControlPr xmlns="http://schemas.microsoft.com/office/spreadsheetml/2009/9/main" objectType="CheckBox" checked="Checked" fmlaLink="$H$39" lockText="1" noThreeD="1"/>
</file>

<file path=xl/ctrlProps/ctrlProp32.xml><?xml version="1.0" encoding="utf-8"?>
<formControlPr xmlns="http://schemas.microsoft.com/office/spreadsheetml/2009/9/main" objectType="CheckBox" fmlaLink="$H$40" lockText="1" noThreeD="1"/>
</file>

<file path=xl/ctrlProps/ctrlProp33.xml><?xml version="1.0" encoding="utf-8"?>
<formControlPr xmlns="http://schemas.microsoft.com/office/spreadsheetml/2009/9/main" objectType="CheckBox" fmlaLink="$H$41" lockText="1" noThreeD="1"/>
</file>

<file path=xl/ctrlProps/ctrlProp34.xml><?xml version="1.0" encoding="utf-8"?>
<formControlPr xmlns="http://schemas.microsoft.com/office/spreadsheetml/2009/9/main" objectType="CheckBox" fmlaLink="$H$43" lockText="1" noThreeD="1"/>
</file>

<file path=xl/ctrlProps/ctrlProp35.xml><?xml version="1.0" encoding="utf-8"?>
<formControlPr xmlns="http://schemas.microsoft.com/office/spreadsheetml/2009/9/main" objectType="CheckBox" fmlaLink="$H$44" lockText="1" noThreeD="1"/>
</file>

<file path=xl/ctrlProps/ctrlProp36.xml><?xml version="1.0" encoding="utf-8"?>
<formControlPr xmlns="http://schemas.microsoft.com/office/spreadsheetml/2009/9/main" objectType="CheckBox" checked="Checked" fmlaLink="$H$45" lockText="1" noThreeD="1"/>
</file>

<file path=xl/ctrlProps/ctrlProp37.xml><?xml version="1.0" encoding="utf-8"?>
<formControlPr xmlns="http://schemas.microsoft.com/office/spreadsheetml/2009/9/main" objectType="CheckBox" checked="Checked" fmlaLink="$H$46" lockText="1" noThreeD="1"/>
</file>

<file path=xl/ctrlProps/ctrlProp38.xml><?xml version="1.0" encoding="utf-8"?>
<formControlPr xmlns="http://schemas.microsoft.com/office/spreadsheetml/2009/9/main" objectType="CheckBox" fmlaLink="$H$47"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checked="Checked" fmlaLink="$H$49" lockText="1" noThreeD="1"/>
</file>

<file path=xl/ctrlProps/ctrlProp42.xml><?xml version="1.0" encoding="utf-8"?>
<formControlPr xmlns="http://schemas.microsoft.com/office/spreadsheetml/2009/9/main" objectType="CheckBox" checked="Checked" fmlaLink="$H$5" lockText="1" noThreeD="1"/>
</file>

<file path=xl/ctrlProps/ctrlProp43.xml><?xml version="1.0" encoding="utf-8"?>
<formControlPr xmlns="http://schemas.microsoft.com/office/spreadsheetml/2009/9/main" objectType="CheckBox" fmlaLink="$H$6" lockText="1" noThreeD="1"/>
</file>

<file path=xl/ctrlProps/ctrlProp44.xml><?xml version="1.0" encoding="utf-8"?>
<formControlPr xmlns="http://schemas.microsoft.com/office/spreadsheetml/2009/9/main" objectType="CheckBox" fmlaLink="$H$7" lockText="1" noThreeD="1"/>
</file>

<file path=xl/ctrlProps/ctrlProp45.xml><?xml version="1.0" encoding="utf-8"?>
<formControlPr xmlns="http://schemas.microsoft.com/office/spreadsheetml/2009/9/main" objectType="CheckBox" checked="Checked" fmlaLink="$H$8" lockText="1" noThreeD="1"/>
</file>

<file path=xl/ctrlProps/ctrlProp46.xml><?xml version="1.0" encoding="utf-8"?>
<formControlPr xmlns="http://schemas.microsoft.com/office/spreadsheetml/2009/9/main" objectType="CheckBox" checked="Checked" fmlaLink="$H$9" lockText="1" noThreeD="1"/>
</file>

<file path=xl/ctrlProps/ctrlProp47.xml><?xml version="1.0" encoding="utf-8"?>
<formControlPr xmlns="http://schemas.microsoft.com/office/spreadsheetml/2009/9/main" objectType="CheckBox" checked="Checked" fmlaLink="$H$10" lockText="1" noThreeD="1"/>
</file>

<file path=xl/ctrlProps/ctrlProp48.xml><?xml version="1.0" encoding="utf-8"?>
<formControlPr xmlns="http://schemas.microsoft.com/office/spreadsheetml/2009/9/main" objectType="CheckBox" fmlaLink="$H$11" lockText="1" noThreeD="1"/>
</file>

<file path=xl/ctrlProps/ctrlProp49.xml><?xml version="1.0" encoding="utf-8"?>
<formControlPr xmlns="http://schemas.microsoft.com/office/spreadsheetml/2009/9/main" objectType="CheckBox" checked="Checked" fmlaLink="$H$13" lockText="1" noThreeD="1"/>
</file>

<file path=xl/ctrlProps/ctrlProp50.xml><?xml version="1.0" encoding="utf-8"?>
<formControlPr xmlns="http://schemas.microsoft.com/office/spreadsheetml/2009/9/main" objectType="CheckBox" checked="Checked" fmlaLink="$H$14" lockText="1" noThreeD="1"/>
</file>

<file path=xl/ctrlProps/ctrlProp51.xml><?xml version="1.0" encoding="utf-8"?>
<formControlPr xmlns="http://schemas.microsoft.com/office/spreadsheetml/2009/9/main" objectType="CheckBox" fmlaLink="$H$15" lockText="1" noThreeD="1"/>
</file>

<file path=xl/ctrlProps/ctrlProp52.xml><?xml version="1.0" encoding="utf-8"?>
<formControlPr xmlns="http://schemas.microsoft.com/office/spreadsheetml/2009/9/main" objectType="CheckBox" fmlaLink="$H$16" lockText="1" noThreeD="1"/>
</file>

<file path=xl/ctrlProps/ctrlProp53.xml><?xml version="1.0" encoding="utf-8"?>
<formControlPr xmlns="http://schemas.microsoft.com/office/spreadsheetml/2009/9/main" objectType="CheckBox" fmlaLink="$H$17" lockText="1" noThreeD="1"/>
</file>

<file path=xl/ctrlProps/ctrlProp54.xml><?xml version="1.0" encoding="utf-8"?>
<formControlPr xmlns="http://schemas.microsoft.com/office/spreadsheetml/2009/9/main" objectType="CheckBox" fmlaLink="$H$18" lockText="1" noThreeD="1"/>
</file>

<file path=xl/ctrlProps/ctrlProp55.xml><?xml version="1.0" encoding="utf-8"?>
<formControlPr xmlns="http://schemas.microsoft.com/office/spreadsheetml/2009/9/main" objectType="CheckBox" fmlaLink="$H$20" lockText="1" noThreeD="1"/>
</file>

<file path=xl/ctrlProps/ctrlProp56.xml><?xml version="1.0" encoding="utf-8"?>
<formControlPr xmlns="http://schemas.microsoft.com/office/spreadsheetml/2009/9/main" objectType="CheckBox" checked="Checked" fmlaLink="$H$21" lockText="1" noThreeD="1"/>
</file>

<file path=xl/ctrlProps/ctrlProp57.xml><?xml version="1.0" encoding="utf-8"?>
<formControlPr xmlns="http://schemas.microsoft.com/office/spreadsheetml/2009/9/main" objectType="CheckBox" fmlaLink="$H$22" lockText="1" noThreeD="1"/>
</file>

<file path=xl/ctrlProps/ctrlProp58.xml><?xml version="1.0" encoding="utf-8"?>
<formControlPr xmlns="http://schemas.microsoft.com/office/spreadsheetml/2009/9/main" objectType="CheckBox" fmlaLink="$H$23" lockText="1" noThreeD="1"/>
</file>

<file path=xl/ctrlProps/ctrlProp59.xml><?xml version="1.0" encoding="utf-8"?>
<formControlPr xmlns="http://schemas.microsoft.com/office/spreadsheetml/2009/9/main" objectType="CheckBox" checked="Checked" fmlaLink="$H$24" lockText="1" noThreeD="1"/>
</file>

<file path=xl/ctrlProps/ctrlProp60.xml><?xml version="1.0" encoding="utf-8"?>
<formControlPr xmlns="http://schemas.microsoft.com/office/spreadsheetml/2009/9/main" objectType="CheckBox" fmlaLink="$H$26" lockText="1" noThreeD="1"/>
</file>

<file path=xl/ctrlProps/ctrlProp61.xml><?xml version="1.0" encoding="utf-8"?>
<formControlPr xmlns="http://schemas.microsoft.com/office/spreadsheetml/2009/9/main" objectType="CheckBox" checked="Checked" fmlaLink="$H$27" lockText="1" noThreeD="1"/>
</file>

<file path=xl/ctrlProps/ctrlProp62.xml><?xml version="1.0" encoding="utf-8"?>
<formControlPr xmlns="http://schemas.microsoft.com/office/spreadsheetml/2009/9/main" objectType="CheckBox" fmlaLink="$H$28" lockText="1" noThreeD="1"/>
</file>

<file path=xl/ctrlProps/ctrlProp63.xml><?xml version="1.0" encoding="utf-8"?>
<formControlPr xmlns="http://schemas.microsoft.com/office/spreadsheetml/2009/9/main" objectType="CheckBox" fmlaLink="$H$29" lockText="1" noThreeD="1"/>
</file>

<file path=xl/ctrlProps/ctrlProp64.xml><?xml version="1.0" encoding="utf-8"?>
<formControlPr xmlns="http://schemas.microsoft.com/office/spreadsheetml/2009/9/main" objectType="CheckBox" fmlaLink="$H$30" lockText="1" noThreeD="1"/>
</file>

<file path=xl/ctrlProps/ctrlProp65.xml><?xml version="1.0" encoding="utf-8"?>
<formControlPr xmlns="http://schemas.microsoft.com/office/spreadsheetml/2009/9/main" objectType="CheckBox" fmlaLink="$H$32" lockText="1" noThreeD="1"/>
</file>

<file path=xl/ctrlProps/ctrlProp66.xml><?xml version="1.0" encoding="utf-8"?>
<formControlPr xmlns="http://schemas.microsoft.com/office/spreadsheetml/2009/9/main" objectType="CheckBox" fmlaLink="$H$33" lockText="1" noThreeD="1"/>
</file>

<file path=xl/ctrlProps/ctrlProp67.xml><?xml version="1.0" encoding="utf-8"?>
<formControlPr xmlns="http://schemas.microsoft.com/office/spreadsheetml/2009/9/main" objectType="CheckBox" checked="Checked" fmlaLink="$H$34" lockText="1" noThreeD="1"/>
</file>

<file path=xl/ctrlProps/ctrlProp68.xml><?xml version="1.0" encoding="utf-8"?>
<formControlPr xmlns="http://schemas.microsoft.com/office/spreadsheetml/2009/9/main" objectType="CheckBox" fmlaLink="$H$35" lockText="1" noThreeD="1"/>
</file>

<file path=xl/ctrlProps/ctrlProp69.xml><?xml version="1.0" encoding="utf-8"?>
<formControlPr xmlns="http://schemas.microsoft.com/office/spreadsheetml/2009/9/main" objectType="CheckBox" checked="Checked" fmlaLink="$H$36" lockText="1" noThreeD="1"/>
</file>

<file path=xl/ctrlProps/ctrlProp70.xml><?xml version="1.0" encoding="utf-8"?>
<formControlPr xmlns="http://schemas.microsoft.com/office/spreadsheetml/2009/9/main" objectType="CheckBox" fmlaLink="$H$38" lockText="1" noThreeD="1"/>
</file>

<file path=xl/ctrlProps/ctrlProp71.xml><?xml version="1.0" encoding="utf-8"?>
<formControlPr xmlns="http://schemas.microsoft.com/office/spreadsheetml/2009/9/main" objectType="CheckBox" checked="Checked" fmlaLink="$H$39" lockText="1" noThreeD="1"/>
</file>

<file path=xl/ctrlProps/ctrlProp72.xml><?xml version="1.0" encoding="utf-8"?>
<formControlPr xmlns="http://schemas.microsoft.com/office/spreadsheetml/2009/9/main" objectType="CheckBox" fmlaLink="$H$40" lockText="1" noThreeD="1"/>
</file>

<file path=xl/ctrlProps/ctrlProp73.xml><?xml version="1.0" encoding="utf-8"?>
<formControlPr xmlns="http://schemas.microsoft.com/office/spreadsheetml/2009/9/main" objectType="CheckBox" fmlaLink="$H$41" lockText="1" noThreeD="1"/>
</file>

<file path=xl/ctrlProps/ctrlProp74.xml><?xml version="1.0" encoding="utf-8"?>
<formControlPr xmlns="http://schemas.microsoft.com/office/spreadsheetml/2009/9/main" objectType="CheckBox" fmlaLink="$H$43" lockText="1" noThreeD="1"/>
</file>

<file path=xl/ctrlProps/ctrlProp75.xml><?xml version="1.0" encoding="utf-8"?>
<formControlPr xmlns="http://schemas.microsoft.com/office/spreadsheetml/2009/9/main" objectType="CheckBox" fmlaLink="$H$44" lockText="1" noThreeD="1"/>
</file>

<file path=xl/ctrlProps/ctrlProp76.xml><?xml version="1.0" encoding="utf-8"?>
<formControlPr xmlns="http://schemas.microsoft.com/office/spreadsheetml/2009/9/main" objectType="CheckBox" checked="Checked" fmlaLink="$H$45" lockText="1" noThreeD="1"/>
</file>

<file path=xl/ctrlProps/ctrlProp77.xml><?xml version="1.0" encoding="utf-8"?>
<formControlPr xmlns="http://schemas.microsoft.com/office/spreadsheetml/2009/9/main" objectType="CheckBox" checked="Checked" fmlaLink="$H$46" lockText="1" noThreeD="1"/>
</file>

<file path=xl/ctrlProps/ctrlProp78.xml><?xml version="1.0" encoding="utf-8"?>
<formControlPr xmlns="http://schemas.microsoft.com/office/spreadsheetml/2009/9/main" objectType="CheckBox" fmlaLink="$H$47" lockText="1" noThreeD="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checked="Checked" fmlaLink="$H$49" lockText="1" noThreeD="1"/>
</file>

<file path=xl/ctrlProps/ctrlProp82.xml><?xml version="1.0" encoding="utf-8"?>
<formControlPr xmlns="http://schemas.microsoft.com/office/spreadsheetml/2009/9/main" objectType="CheckBox" fmlaLink="$H$5" lockText="1" noThreeD="1"/>
</file>

<file path=xl/ctrlProps/ctrlProp83.xml><?xml version="1.0" encoding="utf-8"?>
<formControlPr xmlns="http://schemas.microsoft.com/office/spreadsheetml/2009/9/main" objectType="CheckBox" fmlaLink="$H$6" lockText="1" noThreeD="1"/>
</file>

<file path=xl/ctrlProps/ctrlProp84.xml><?xml version="1.0" encoding="utf-8"?>
<formControlPr xmlns="http://schemas.microsoft.com/office/spreadsheetml/2009/9/main" objectType="CheckBox" fmlaLink="$H$7" lockText="1" noThreeD="1"/>
</file>

<file path=xl/ctrlProps/ctrlProp85.xml><?xml version="1.0" encoding="utf-8"?>
<formControlPr xmlns="http://schemas.microsoft.com/office/spreadsheetml/2009/9/main" objectType="CheckBox" fmlaLink="$H$8" lockText="1" noThreeD="1"/>
</file>

<file path=xl/ctrlProps/ctrlProp86.xml><?xml version="1.0" encoding="utf-8"?>
<formControlPr xmlns="http://schemas.microsoft.com/office/spreadsheetml/2009/9/main" objectType="CheckBox" fmlaLink="$H$9" lockText="1" noThreeD="1"/>
</file>

<file path=xl/ctrlProps/ctrlProp87.xml><?xml version="1.0" encoding="utf-8"?>
<formControlPr xmlns="http://schemas.microsoft.com/office/spreadsheetml/2009/9/main" objectType="CheckBox" fmlaLink="$H$10" lockText="1" noThreeD="1"/>
</file>

<file path=xl/ctrlProps/ctrlProp88.xml><?xml version="1.0" encoding="utf-8"?>
<formControlPr xmlns="http://schemas.microsoft.com/office/spreadsheetml/2009/9/main" objectType="CheckBox" fmlaLink="$H$11" lockText="1" noThreeD="1"/>
</file>

<file path=xl/ctrlProps/ctrlProp89.xml><?xml version="1.0" encoding="utf-8"?>
<formControlPr xmlns="http://schemas.microsoft.com/office/spreadsheetml/2009/9/main" objectType="CheckBox" fmlaLink="$H$13" lockText="1" noThreeD="1"/>
</file>

<file path=xl/ctrlProps/ctrlProp90.xml><?xml version="1.0" encoding="utf-8"?>
<formControlPr xmlns="http://schemas.microsoft.com/office/spreadsheetml/2009/9/main" objectType="CheckBox" fmlaLink="$H$14" lockText="1" noThreeD="1"/>
</file>

<file path=xl/ctrlProps/ctrlProp91.xml><?xml version="1.0" encoding="utf-8"?>
<formControlPr xmlns="http://schemas.microsoft.com/office/spreadsheetml/2009/9/main" objectType="CheckBox" fmlaLink="$H$15" lockText="1" noThreeD="1"/>
</file>

<file path=xl/ctrlProps/ctrlProp92.xml><?xml version="1.0" encoding="utf-8"?>
<formControlPr xmlns="http://schemas.microsoft.com/office/spreadsheetml/2009/9/main" objectType="CheckBox" fmlaLink="$H$16" lockText="1" noThreeD="1"/>
</file>

<file path=xl/ctrlProps/ctrlProp93.xml><?xml version="1.0" encoding="utf-8"?>
<formControlPr xmlns="http://schemas.microsoft.com/office/spreadsheetml/2009/9/main" objectType="CheckBox" fmlaLink="$H$17" lockText="1" noThreeD="1"/>
</file>

<file path=xl/ctrlProps/ctrlProp94.xml><?xml version="1.0" encoding="utf-8"?>
<formControlPr xmlns="http://schemas.microsoft.com/office/spreadsheetml/2009/9/main" objectType="CheckBox" fmlaLink="$H$18" lockText="1" noThreeD="1"/>
</file>

<file path=xl/ctrlProps/ctrlProp95.xml><?xml version="1.0" encoding="utf-8"?>
<formControlPr xmlns="http://schemas.microsoft.com/office/spreadsheetml/2009/9/main" objectType="CheckBox" fmlaLink="$H$20" lockText="1" noThreeD="1"/>
</file>

<file path=xl/ctrlProps/ctrlProp96.xml><?xml version="1.0" encoding="utf-8"?>
<formControlPr xmlns="http://schemas.microsoft.com/office/spreadsheetml/2009/9/main" objectType="CheckBox" fmlaLink="$H$21" lockText="1" noThreeD="1"/>
</file>

<file path=xl/ctrlProps/ctrlProp97.xml><?xml version="1.0" encoding="utf-8"?>
<formControlPr xmlns="http://schemas.microsoft.com/office/spreadsheetml/2009/9/main" objectType="CheckBox" fmlaLink="$H$22" lockText="1" noThreeD="1"/>
</file>

<file path=xl/ctrlProps/ctrlProp98.xml><?xml version="1.0" encoding="utf-8"?>
<formControlPr xmlns="http://schemas.microsoft.com/office/spreadsheetml/2009/9/main" objectType="CheckBox" fmlaLink="$H$23" lockText="1" noThreeD="1"/>
</file>

<file path=xl/ctrlProps/ctrlProp99.xml><?xml version="1.0" encoding="utf-8"?>
<formControlPr xmlns="http://schemas.microsoft.com/office/spreadsheetml/2009/9/main" objectType="CheckBox" fmlaLink="$H$24" lockText="1" noThreeD="1"/>
</file>

<file path=xl/ctrlProps/ctrlProp100.xml><?xml version="1.0" encoding="utf-8"?>
<formControlPr xmlns="http://schemas.microsoft.com/office/spreadsheetml/2009/9/main" objectType="CheckBox" fmlaLink="$H$26" lockText="1" noThreeD="1"/>
</file>

<file path=xl/ctrlProps/ctrlProp101.xml><?xml version="1.0" encoding="utf-8"?>
<formControlPr xmlns="http://schemas.microsoft.com/office/spreadsheetml/2009/9/main" objectType="CheckBox" fmlaLink="$H$27" lockText="1" noThreeD="1"/>
</file>

<file path=xl/ctrlProps/ctrlProp102.xml><?xml version="1.0" encoding="utf-8"?>
<formControlPr xmlns="http://schemas.microsoft.com/office/spreadsheetml/2009/9/main" objectType="CheckBox" fmlaLink="$H$28" lockText="1" noThreeD="1"/>
</file>

<file path=xl/ctrlProps/ctrlProp103.xml><?xml version="1.0" encoding="utf-8"?>
<formControlPr xmlns="http://schemas.microsoft.com/office/spreadsheetml/2009/9/main" objectType="CheckBox" fmlaLink="$H$29" lockText="1" noThreeD="1"/>
</file>

<file path=xl/ctrlProps/ctrlProp104.xml><?xml version="1.0" encoding="utf-8"?>
<formControlPr xmlns="http://schemas.microsoft.com/office/spreadsheetml/2009/9/main" objectType="CheckBox" fmlaLink="$H$30" lockText="1" noThreeD="1"/>
</file>

<file path=xl/ctrlProps/ctrlProp105.xml><?xml version="1.0" encoding="utf-8"?>
<formControlPr xmlns="http://schemas.microsoft.com/office/spreadsheetml/2009/9/main" objectType="CheckBox" fmlaLink="$H$32" lockText="1" noThreeD="1"/>
</file>

<file path=xl/ctrlProps/ctrlProp106.xml><?xml version="1.0" encoding="utf-8"?>
<formControlPr xmlns="http://schemas.microsoft.com/office/spreadsheetml/2009/9/main" objectType="CheckBox" fmlaLink="$H$33" lockText="1" noThreeD="1"/>
</file>

<file path=xl/ctrlProps/ctrlProp107.xml><?xml version="1.0" encoding="utf-8"?>
<formControlPr xmlns="http://schemas.microsoft.com/office/spreadsheetml/2009/9/main" objectType="CheckBox" fmlaLink="$H$34" lockText="1" noThreeD="1"/>
</file>

<file path=xl/ctrlProps/ctrlProp108.xml><?xml version="1.0" encoding="utf-8"?>
<formControlPr xmlns="http://schemas.microsoft.com/office/spreadsheetml/2009/9/main" objectType="CheckBox" fmlaLink="$H$35" lockText="1" noThreeD="1"/>
</file>

<file path=xl/ctrlProps/ctrlProp109.xml><?xml version="1.0" encoding="utf-8"?>
<formControlPr xmlns="http://schemas.microsoft.com/office/spreadsheetml/2009/9/main" objectType="CheckBox" fmlaLink="$H$36" lockText="1" noThreeD="1"/>
</file>

<file path=xl/ctrlProps/ctrlProp110.xml><?xml version="1.0" encoding="utf-8"?>
<formControlPr xmlns="http://schemas.microsoft.com/office/spreadsheetml/2009/9/main" objectType="CheckBox" fmlaLink="$H$38" lockText="1" noThreeD="1"/>
</file>

<file path=xl/ctrlProps/ctrlProp111.xml><?xml version="1.0" encoding="utf-8"?>
<formControlPr xmlns="http://schemas.microsoft.com/office/spreadsheetml/2009/9/main" objectType="CheckBox" fmlaLink="$H$39" lockText="1" noThreeD="1"/>
</file>

<file path=xl/ctrlProps/ctrlProp112.xml><?xml version="1.0" encoding="utf-8"?>
<formControlPr xmlns="http://schemas.microsoft.com/office/spreadsheetml/2009/9/main" objectType="CheckBox" fmlaLink="$H$40" lockText="1" noThreeD="1"/>
</file>

<file path=xl/ctrlProps/ctrlProp113.xml><?xml version="1.0" encoding="utf-8"?>
<formControlPr xmlns="http://schemas.microsoft.com/office/spreadsheetml/2009/9/main" objectType="CheckBox" fmlaLink="$H$41" lockText="1" noThreeD="1"/>
</file>

<file path=xl/ctrlProps/ctrlProp114.xml><?xml version="1.0" encoding="utf-8"?>
<formControlPr xmlns="http://schemas.microsoft.com/office/spreadsheetml/2009/9/main" objectType="CheckBox" fmlaLink="$H$43" lockText="1" noThreeD="1"/>
</file>

<file path=xl/ctrlProps/ctrlProp115.xml><?xml version="1.0" encoding="utf-8"?>
<formControlPr xmlns="http://schemas.microsoft.com/office/spreadsheetml/2009/9/main" objectType="CheckBox" fmlaLink="$H$44" lockText="1" noThreeD="1"/>
</file>

<file path=xl/ctrlProps/ctrlProp116.xml><?xml version="1.0" encoding="utf-8"?>
<formControlPr xmlns="http://schemas.microsoft.com/office/spreadsheetml/2009/9/main" objectType="CheckBox" fmlaLink="$H$45" lockText="1" noThreeD="1"/>
</file>

<file path=xl/ctrlProps/ctrlProp117.xml><?xml version="1.0" encoding="utf-8"?>
<formControlPr xmlns="http://schemas.microsoft.com/office/spreadsheetml/2009/9/main" objectType="CheckBox" fmlaLink="$H$46" lockText="1" noThreeD="1"/>
</file>

<file path=xl/ctrlProps/ctrlProp118.xml><?xml version="1.0" encoding="utf-8"?>
<formControlPr xmlns="http://schemas.microsoft.com/office/spreadsheetml/2009/9/main" objectType="CheckBox" fmlaLink="$H$47" lockText="1" noThreeD="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CheckBox" checked="Checked" fmlaLink="$H$49" lockText="1" noThreeD="1"/>
</file>

<file path=xl/ctrlProps/ctrlProp122.xml><?xml version="1.0" encoding="utf-8"?>
<formControlPr xmlns="http://schemas.microsoft.com/office/spreadsheetml/2009/9/main" objectType="CheckBox" fmlaLink="$H$5" lockText="1" noThreeD="1"/>
</file>

<file path=xl/ctrlProps/ctrlProp123.xml><?xml version="1.0" encoding="utf-8"?>
<formControlPr xmlns="http://schemas.microsoft.com/office/spreadsheetml/2009/9/main" objectType="CheckBox" fmlaLink="$H$6" lockText="1" noThreeD="1"/>
</file>

<file path=xl/ctrlProps/ctrlProp124.xml><?xml version="1.0" encoding="utf-8"?>
<formControlPr xmlns="http://schemas.microsoft.com/office/spreadsheetml/2009/9/main" objectType="CheckBox" fmlaLink="$H$7" lockText="1" noThreeD="1"/>
</file>

<file path=xl/ctrlProps/ctrlProp125.xml><?xml version="1.0" encoding="utf-8"?>
<formControlPr xmlns="http://schemas.microsoft.com/office/spreadsheetml/2009/9/main" objectType="CheckBox" fmlaLink="$H$8" lockText="1" noThreeD="1"/>
</file>

<file path=xl/ctrlProps/ctrlProp126.xml><?xml version="1.0" encoding="utf-8"?>
<formControlPr xmlns="http://schemas.microsoft.com/office/spreadsheetml/2009/9/main" objectType="CheckBox" fmlaLink="$H$9" lockText="1" noThreeD="1"/>
</file>

<file path=xl/ctrlProps/ctrlProp127.xml><?xml version="1.0" encoding="utf-8"?>
<formControlPr xmlns="http://schemas.microsoft.com/office/spreadsheetml/2009/9/main" objectType="CheckBox" fmlaLink="$H$10" lockText="1" noThreeD="1"/>
</file>

<file path=xl/ctrlProps/ctrlProp128.xml><?xml version="1.0" encoding="utf-8"?>
<formControlPr xmlns="http://schemas.microsoft.com/office/spreadsheetml/2009/9/main" objectType="CheckBox" fmlaLink="$H$11" lockText="1" noThreeD="1"/>
</file>

<file path=xl/ctrlProps/ctrlProp129.xml><?xml version="1.0" encoding="utf-8"?>
<formControlPr xmlns="http://schemas.microsoft.com/office/spreadsheetml/2009/9/main" objectType="CheckBox" fmlaLink="$H$13" lockText="1" noThreeD="1"/>
</file>

<file path=xl/ctrlProps/ctrlProp130.xml><?xml version="1.0" encoding="utf-8"?>
<formControlPr xmlns="http://schemas.microsoft.com/office/spreadsheetml/2009/9/main" objectType="CheckBox" fmlaLink="$H$14" lockText="1" noThreeD="1"/>
</file>

<file path=xl/ctrlProps/ctrlProp131.xml><?xml version="1.0" encoding="utf-8"?>
<formControlPr xmlns="http://schemas.microsoft.com/office/spreadsheetml/2009/9/main" objectType="CheckBox" fmlaLink="$H$15" lockText="1" noThreeD="1"/>
</file>

<file path=xl/ctrlProps/ctrlProp132.xml><?xml version="1.0" encoding="utf-8"?>
<formControlPr xmlns="http://schemas.microsoft.com/office/spreadsheetml/2009/9/main" objectType="CheckBox" fmlaLink="$H$16" lockText="1" noThreeD="1"/>
</file>

<file path=xl/ctrlProps/ctrlProp133.xml><?xml version="1.0" encoding="utf-8"?>
<formControlPr xmlns="http://schemas.microsoft.com/office/spreadsheetml/2009/9/main" objectType="CheckBox" fmlaLink="$H$17" lockText="1" noThreeD="1"/>
</file>

<file path=xl/ctrlProps/ctrlProp134.xml><?xml version="1.0" encoding="utf-8"?>
<formControlPr xmlns="http://schemas.microsoft.com/office/spreadsheetml/2009/9/main" objectType="CheckBox" fmlaLink="$H$18" lockText="1" noThreeD="1"/>
</file>

<file path=xl/ctrlProps/ctrlProp135.xml><?xml version="1.0" encoding="utf-8"?>
<formControlPr xmlns="http://schemas.microsoft.com/office/spreadsheetml/2009/9/main" objectType="CheckBox" fmlaLink="$H$20" lockText="1" noThreeD="1"/>
</file>

<file path=xl/ctrlProps/ctrlProp136.xml><?xml version="1.0" encoding="utf-8"?>
<formControlPr xmlns="http://schemas.microsoft.com/office/spreadsheetml/2009/9/main" objectType="CheckBox" fmlaLink="$H$21" lockText="1" noThreeD="1"/>
</file>

<file path=xl/ctrlProps/ctrlProp137.xml><?xml version="1.0" encoding="utf-8"?>
<formControlPr xmlns="http://schemas.microsoft.com/office/spreadsheetml/2009/9/main" objectType="CheckBox" fmlaLink="$H$22" lockText="1" noThreeD="1"/>
</file>

<file path=xl/ctrlProps/ctrlProp138.xml><?xml version="1.0" encoding="utf-8"?>
<formControlPr xmlns="http://schemas.microsoft.com/office/spreadsheetml/2009/9/main" objectType="CheckBox" fmlaLink="$H$23" lockText="1" noThreeD="1"/>
</file>

<file path=xl/ctrlProps/ctrlProp139.xml><?xml version="1.0" encoding="utf-8"?>
<formControlPr xmlns="http://schemas.microsoft.com/office/spreadsheetml/2009/9/main" objectType="CheckBox" fmlaLink="$H$24" lockText="1" noThreeD="1"/>
</file>

<file path=xl/ctrlProps/ctrlProp140.xml><?xml version="1.0" encoding="utf-8"?>
<formControlPr xmlns="http://schemas.microsoft.com/office/spreadsheetml/2009/9/main" objectType="CheckBox" fmlaLink="$H$26" lockText="1" noThreeD="1"/>
</file>

<file path=xl/ctrlProps/ctrlProp141.xml><?xml version="1.0" encoding="utf-8"?>
<formControlPr xmlns="http://schemas.microsoft.com/office/spreadsheetml/2009/9/main" objectType="CheckBox" fmlaLink="$H$27" lockText="1" noThreeD="1"/>
</file>

<file path=xl/ctrlProps/ctrlProp142.xml><?xml version="1.0" encoding="utf-8"?>
<formControlPr xmlns="http://schemas.microsoft.com/office/spreadsheetml/2009/9/main" objectType="CheckBox" fmlaLink="$H$28" lockText="1" noThreeD="1"/>
</file>

<file path=xl/ctrlProps/ctrlProp143.xml><?xml version="1.0" encoding="utf-8"?>
<formControlPr xmlns="http://schemas.microsoft.com/office/spreadsheetml/2009/9/main" objectType="CheckBox" fmlaLink="$H$29" lockText="1" noThreeD="1"/>
</file>

<file path=xl/ctrlProps/ctrlProp144.xml><?xml version="1.0" encoding="utf-8"?>
<formControlPr xmlns="http://schemas.microsoft.com/office/spreadsheetml/2009/9/main" objectType="CheckBox" fmlaLink="$H$30" lockText="1" noThreeD="1"/>
</file>

<file path=xl/ctrlProps/ctrlProp145.xml><?xml version="1.0" encoding="utf-8"?>
<formControlPr xmlns="http://schemas.microsoft.com/office/spreadsheetml/2009/9/main" objectType="CheckBox" fmlaLink="$H$32" lockText="1" noThreeD="1"/>
</file>

<file path=xl/ctrlProps/ctrlProp146.xml><?xml version="1.0" encoding="utf-8"?>
<formControlPr xmlns="http://schemas.microsoft.com/office/spreadsheetml/2009/9/main" objectType="CheckBox" fmlaLink="$H$33" lockText="1" noThreeD="1"/>
</file>

<file path=xl/ctrlProps/ctrlProp147.xml><?xml version="1.0" encoding="utf-8"?>
<formControlPr xmlns="http://schemas.microsoft.com/office/spreadsheetml/2009/9/main" objectType="CheckBox" fmlaLink="$H$34" lockText="1" noThreeD="1"/>
</file>

<file path=xl/ctrlProps/ctrlProp148.xml><?xml version="1.0" encoding="utf-8"?>
<formControlPr xmlns="http://schemas.microsoft.com/office/spreadsheetml/2009/9/main" objectType="CheckBox" fmlaLink="$H$35" lockText="1" noThreeD="1"/>
</file>

<file path=xl/ctrlProps/ctrlProp149.xml><?xml version="1.0" encoding="utf-8"?>
<formControlPr xmlns="http://schemas.microsoft.com/office/spreadsheetml/2009/9/main" objectType="CheckBox" fmlaLink="$H$36" lockText="1" noThreeD="1"/>
</file>

<file path=xl/ctrlProps/ctrlProp150.xml><?xml version="1.0" encoding="utf-8"?>
<formControlPr xmlns="http://schemas.microsoft.com/office/spreadsheetml/2009/9/main" objectType="CheckBox" fmlaLink="$H$38" lockText="1" noThreeD="1"/>
</file>

<file path=xl/ctrlProps/ctrlProp151.xml><?xml version="1.0" encoding="utf-8"?>
<formControlPr xmlns="http://schemas.microsoft.com/office/spreadsheetml/2009/9/main" objectType="CheckBox" fmlaLink="$H$39" lockText="1" noThreeD="1"/>
</file>

<file path=xl/ctrlProps/ctrlProp152.xml><?xml version="1.0" encoding="utf-8"?>
<formControlPr xmlns="http://schemas.microsoft.com/office/spreadsheetml/2009/9/main" objectType="CheckBox" fmlaLink="$H$40" lockText="1" noThreeD="1"/>
</file>

<file path=xl/ctrlProps/ctrlProp153.xml><?xml version="1.0" encoding="utf-8"?>
<formControlPr xmlns="http://schemas.microsoft.com/office/spreadsheetml/2009/9/main" objectType="CheckBox" fmlaLink="$H$41" lockText="1" noThreeD="1"/>
</file>

<file path=xl/ctrlProps/ctrlProp154.xml><?xml version="1.0" encoding="utf-8"?>
<formControlPr xmlns="http://schemas.microsoft.com/office/spreadsheetml/2009/9/main" objectType="CheckBox" fmlaLink="$H$43" lockText="1" noThreeD="1"/>
</file>

<file path=xl/ctrlProps/ctrlProp155.xml><?xml version="1.0" encoding="utf-8"?>
<formControlPr xmlns="http://schemas.microsoft.com/office/spreadsheetml/2009/9/main" objectType="CheckBox" fmlaLink="$H$44" lockText="1" noThreeD="1"/>
</file>

<file path=xl/ctrlProps/ctrlProp156.xml><?xml version="1.0" encoding="utf-8"?>
<formControlPr xmlns="http://schemas.microsoft.com/office/spreadsheetml/2009/9/main" objectType="CheckBox" fmlaLink="$H$45" lockText="1" noThreeD="1"/>
</file>

<file path=xl/ctrlProps/ctrlProp157.xml><?xml version="1.0" encoding="utf-8"?>
<formControlPr xmlns="http://schemas.microsoft.com/office/spreadsheetml/2009/9/main" objectType="CheckBox" fmlaLink="$H$46" lockText="1" noThreeD="1"/>
</file>

<file path=xl/ctrlProps/ctrlProp158.xml><?xml version="1.0" encoding="utf-8"?>
<formControlPr xmlns="http://schemas.microsoft.com/office/spreadsheetml/2009/9/main" objectType="CheckBox" fmlaLink="$H$47" lockText="1" noThreeD="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CheckBox" checked="Checked" fmlaLink="$H$49" lockText="1" noThreeD="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CheckBox" fmlaLink="$C$102" lockText="1" noThreeD="1"/>
</file>

<file path=xl/ctrlProps/ctrlProp172.xml><?xml version="1.0" encoding="utf-8"?>
<formControlPr xmlns="http://schemas.microsoft.com/office/spreadsheetml/2009/9/main" objectType="CheckBox" fmlaLink="$C$103" lockText="1" noThreeD="1"/>
</file>

<file path=xl/ctrlProps/ctrlProp173.xml><?xml version="1.0" encoding="utf-8"?>
<formControlPr xmlns="http://schemas.microsoft.com/office/spreadsheetml/2009/9/main" objectType="CheckBox" fmlaLink="$C$104" lockText="1" noThreeD="1"/>
</file>

<file path=xl/ctrlProps/ctrlProp174.xml><?xml version="1.0" encoding="utf-8"?>
<formControlPr xmlns="http://schemas.microsoft.com/office/spreadsheetml/2009/9/main" objectType="CheckBox" fmlaLink="$C$105" lockText="1" noThreeD="1"/>
</file>

<file path=xl/ctrlProps/ctrlProp175.xml><?xml version="1.0" encoding="utf-8"?>
<formControlPr xmlns="http://schemas.microsoft.com/office/spreadsheetml/2009/9/main" objectType="CheckBox" fmlaLink="$C$106" lockText="1" noThreeD="1"/>
</file>

<file path=xl/ctrlProps/ctrlProp176.xml><?xml version="1.0" encoding="utf-8"?>
<formControlPr xmlns="http://schemas.microsoft.com/office/spreadsheetml/2009/9/main" objectType="CheckBox" fmlaLink="$C$107" lockText="1" noThreeD="1"/>
</file>

<file path=xl/ctrlProps/ctrlProp177.xml><?xml version="1.0" encoding="utf-8"?>
<formControlPr xmlns="http://schemas.microsoft.com/office/spreadsheetml/2009/9/main" objectType="CheckBox" fmlaLink="$C$108" lockText="1" noThreeD="1"/>
</file>

<file path=xl/ctrlProps/ctrlProp178.xml><?xml version="1.0" encoding="utf-8"?>
<formControlPr xmlns="http://schemas.microsoft.com/office/spreadsheetml/2009/9/main" objectType="CheckBox" fmlaLink="$C$109" lockText="1" noThreeD="1"/>
</file>

<file path=xl/ctrlProps/ctrlProp179.xml><?xml version="1.0" encoding="utf-8"?>
<formControlPr xmlns="http://schemas.microsoft.com/office/spreadsheetml/2009/9/main" objectType="CheckBox" fmlaLink="$C$110" lockText="1" noThreeD="1"/>
</file>

<file path=xl/ctrlProps/ctrlProp180.xml><?xml version="1.0" encoding="utf-8"?>
<formControlPr xmlns="http://schemas.microsoft.com/office/spreadsheetml/2009/9/main" objectType="CheckBox" fmlaLink="$C$111" lockText="1" noThreeD="1"/>
</file>

<file path=xl/ctrlProps/ctrlProp181.xml><?xml version="1.0" encoding="utf-8"?>
<formControlPr xmlns="http://schemas.microsoft.com/office/spreadsheetml/2009/9/main" objectType="CheckBox" fmlaLink="$C$112" lockText="1" noThreeD="1"/>
</file>

<file path=xl/ctrlProps/ctrlProp182.xml><?xml version="1.0" encoding="utf-8"?>
<formControlPr xmlns="http://schemas.microsoft.com/office/spreadsheetml/2009/9/main" objectType="CheckBox" fmlaLink="$C$113" lockText="1" noThreeD="1"/>
</file>

<file path=xl/ctrlProps/ctrlProp183.xml><?xml version="1.0" encoding="utf-8"?>
<formControlPr xmlns="http://schemas.microsoft.com/office/spreadsheetml/2009/9/main" objectType="CheckBox" checked="Checked" fmlaLink="$C$114" lockText="1" noThreeD="1"/>
</file>

<file path=xl/ctrlProps/ctrlProp184.xml><?xml version="1.0" encoding="utf-8"?>
<formControlPr xmlns="http://schemas.microsoft.com/office/spreadsheetml/2009/9/main" objectType="CheckBox" fmlaLink="$C$115" lockText="1" noThreeD="1"/>
</file>

<file path=xl/ctrlProps/ctrlProp185.xml><?xml version="1.0" encoding="utf-8"?>
<formControlPr xmlns="http://schemas.microsoft.com/office/spreadsheetml/2009/9/main" objectType="CheckBox" fmlaLink="$C$116" lockText="1" noThreeD="1"/>
</file>

<file path=xl/ctrlProps/ctrlProp186.xml><?xml version="1.0" encoding="utf-8"?>
<formControlPr xmlns="http://schemas.microsoft.com/office/spreadsheetml/2009/9/main" objectType="CheckBox" fmlaLink="$C$117" lockText="1" noThreeD="1"/>
</file>

<file path=xl/ctrlProps/ctrlProp187.xml><?xml version="1.0" encoding="utf-8"?>
<formControlPr xmlns="http://schemas.microsoft.com/office/spreadsheetml/2009/9/main" objectType="CheckBox" fmlaLink="$C$118" lockText="1" noThreeD="1"/>
</file>

<file path=xl/ctrlProps/ctrlProp188.xml><?xml version="1.0" encoding="utf-8"?>
<formControlPr xmlns="http://schemas.microsoft.com/office/spreadsheetml/2009/9/main" objectType="CheckBox" fmlaLink="$C$119" lockText="1" noThreeD="1"/>
</file>

<file path=xl/ctrlProps/ctrlProp189.xml><?xml version="1.0" encoding="utf-8"?>
<formControlPr xmlns="http://schemas.microsoft.com/office/spreadsheetml/2009/9/main" objectType="CheckBox" fmlaLink="$C$77" lockText="1" noThreeD="1"/>
</file>

<file path=xl/ctrlProps/ctrlProp190.xml><?xml version="1.0" encoding="utf-8"?>
<formControlPr xmlns="http://schemas.microsoft.com/office/spreadsheetml/2009/9/main" objectType="CheckBox" checked="Checked" fmlaLink="$C$78" lockText="1" noThreeD="1"/>
</file>

<file path=xl/ctrlProps/ctrlProp191.xml><?xml version="1.0" encoding="utf-8"?>
<formControlPr xmlns="http://schemas.microsoft.com/office/spreadsheetml/2009/9/main" objectType="CheckBox" fmlaLink="$C$79" lockText="1" noThreeD="1"/>
</file>

<file path=xl/ctrlProps/ctrlProp192.xml><?xml version="1.0" encoding="utf-8"?>
<formControlPr xmlns="http://schemas.microsoft.com/office/spreadsheetml/2009/9/main" objectType="CheckBox" fmlaLink="$C$80" lockText="1" noThreeD="1"/>
</file>

<file path=xl/ctrlProps/ctrlProp193.xml><?xml version="1.0" encoding="utf-8"?>
<formControlPr xmlns="http://schemas.microsoft.com/office/spreadsheetml/2009/9/main" objectType="CheckBox" fmlaLink="$C$81" lockText="1" noThreeD="1"/>
</file>

<file path=xl/ctrlProps/ctrlProp194.xml><?xml version="1.0" encoding="utf-8"?>
<formControlPr xmlns="http://schemas.microsoft.com/office/spreadsheetml/2009/9/main" objectType="CheckBox" fmlaLink="$C$82" lockText="1" noThreeD="1"/>
</file>

<file path=xl/ctrlProps/ctrlProp195.xml><?xml version="1.0" encoding="utf-8"?>
<formControlPr xmlns="http://schemas.microsoft.com/office/spreadsheetml/2009/9/main" objectType="CheckBox" fmlaLink="$C$83" lockText="1" noThreeD="1"/>
</file>

<file path=xl/ctrlProps/ctrlProp196.xml><?xml version="1.0" encoding="utf-8"?>
<formControlPr xmlns="http://schemas.microsoft.com/office/spreadsheetml/2009/9/main" objectType="CheckBox" fmlaLink="$C$84" lockText="1" noThreeD="1"/>
</file>

<file path=xl/ctrlProps/ctrlProp197.xml><?xml version="1.0" encoding="utf-8"?>
<formControlPr xmlns="http://schemas.microsoft.com/office/spreadsheetml/2009/9/main" objectType="CheckBox" fmlaLink="$C$85" lockText="1" noThreeD="1"/>
</file>

<file path=xl/ctrlProps/ctrlProp198.xml><?xml version="1.0" encoding="utf-8"?>
<formControlPr xmlns="http://schemas.microsoft.com/office/spreadsheetml/2009/9/main" objectType="CheckBox" fmlaLink="$C$86" lockText="1" noThreeD="1"/>
</file>

<file path=xl/ctrlProps/ctrlProp199.xml><?xml version="1.0" encoding="utf-8"?>
<formControlPr xmlns="http://schemas.microsoft.com/office/spreadsheetml/2009/9/main" objectType="CheckBox" fmlaLink="$C$87" lockText="1" noThreeD="1"/>
</file>

<file path=xl/ctrlProps/ctrlProp200.xml><?xml version="1.0" encoding="utf-8"?>
<formControlPr xmlns="http://schemas.microsoft.com/office/spreadsheetml/2009/9/main" objectType="CheckBox" fmlaLink="$C$88" lockText="1" noThreeD="1"/>
</file>

<file path=xl/ctrlProps/ctrlProp201.xml><?xml version="1.0" encoding="utf-8"?>
<formControlPr xmlns="http://schemas.microsoft.com/office/spreadsheetml/2009/9/main" objectType="CheckBox" fmlaLink="$C$89" lockText="1" noThreeD="1"/>
</file>

<file path=xl/ctrlProps/ctrlProp202.xml><?xml version="1.0" encoding="utf-8"?>
<formControlPr xmlns="http://schemas.microsoft.com/office/spreadsheetml/2009/9/main" objectType="CheckBox" fmlaLink="$C$90" lockText="1" noThreeD="1"/>
</file>

<file path=xl/ctrlProps/ctrlProp203.xml><?xml version="1.0" encoding="utf-8"?>
<formControlPr xmlns="http://schemas.microsoft.com/office/spreadsheetml/2009/9/main" objectType="CheckBox" fmlaLink="$C$91" lockText="1" noThreeD="1"/>
</file>

<file path=xl/ctrlProps/ctrlProp204.xml><?xml version="1.0" encoding="utf-8"?>
<formControlPr xmlns="http://schemas.microsoft.com/office/spreadsheetml/2009/9/main" objectType="CheckBox" fmlaLink="$C$92" lockText="1" noThreeD="1"/>
</file>

<file path=xl/ctrlProps/ctrlProp205.xml><?xml version="1.0" encoding="utf-8"?>
<formControlPr xmlns="http://schemas.microsoft.com/office/spreadsheetml/2009/9/main" objectType="CheckBox" fmlaLink="$C$93" lockText="1" noThreeD="1"/>
</file>

<file path=xl/ctrlProps/ctrlProp206.xml><?xml version="1.0" encoding="utf-8"?>
<formControlPr xmlns="http://schemas.microsoft.com/office/spreadsheetml/2009/9/main" objectType="CheckBox" fmlaLink="$M$77" lockText="1" noThreeD="1"/>
</file>

<file path=xl/ctrlProps/ctrlProp207.xml><?xml version="1.0" encoding="utf-8"?>
<formControlPr xmlns="http://schemas.microsoft.com/office/spreadsheetml/2009/9/main" objectType="CheckBox" fmlaLink="$M$78" lockText="1" noThreeD="1"/>
</file>

<file path=xl/ctrlProps/ctrlProp208.xml><?xml version="1.0" encoding="utf-8"?>
<formControlPr xmlns="http://schemas.microsoft.com/office/spreadsheetml/2009/9/main" objectType="CheckBox" fmlaLink="$M$79" lockText="1" noThreeD="1"/>
</file>

<file path=xl/ctrlProps/ctrlProp209.xml><?xml version="1.0" encoding="utf-8"?>
<formControlPr xmlns="http://schemas.microsoft.com/office/spreadsheetml/2009/9/main" objectType="CheckBox" checked="Checked" fmlaLink="$M$80" lockText="1" noThreeD="1"/>
</file>

<file path=xl/ctrlProps/ctrlProp210.xml><?xml version="1.0" encoding="utf-8"?>
<formControlPr xmlns="http://schemas.microsoft.com/office/spreadsheetml/2009/9/main" objectType="CheckBox" fmlaLink="$M$81" lockText="1" noThreeD="1"/>
</file>

<file path=xl/ctrlProps/ctrlProp211.xml><?xml version="1.0" encoding="utf-8"?>
<formControlPr xmlns="http://schemas.microsoft.com/office/spreadsheetml/2009/9/main" objectType="CheckBox" fmlaLink="$M$82" lockText="1" noThreeD="1"/>
</file>

<file path=xl/ctrlProps/ctrlProp212.xml><?xml version="1.0" encoding="utf-8"?>
<formControlPr xmlns="http://schemas.microsoft.com/office/spreadsheetml/2009/9/main" objectType="CheckBox" fmlaLink="$M$83" lockText="1" noThreeD="1"/>
</file>

<file path=xl/ctrlProps/ctrlProp213.xml><?xml version="1.0" encoding="utf-8"?>
<formControlPr xmlns="http://schemas.microsoft.com/office/spreadsheetml/2009/9/main" objectType="CheckBox" fmlaLink="$M$84" lockText="1" noThreeD="1"/>
</file>

<file path=xl/ctrlProps/ctrlProp214.xml><?xml version="1.0" encoding="utf-8"?>
<formControlPr xmlns="http://schemas.microsoft.com/office/spreadsheetml/2009/9/main" objectType="CheckBox" fmlaLink="$M$85" lockText="1" noThreeD="1"/>
</file>

<file path=xl/ctrlProps/ctrlProp215.xml><?xml version="1.0" encoding="utf-8"?>
<formControlPr xmlns="http://schemas.microsoft.com/office/spreadsheetml/2009/9/main" objectType="CheckBox" fmlaLink="$M$86" lockText="1" noThreeD="1"/>
</file>

<file path=xl/ctrlProps/ctrlProp216.xml><?xml version="1.0" encoding="utf-8"?>
<formControlPr xmlns="http://schemas.microsoft.com/office/spreadsheetml/2009/9/main" objectType="CheckBox" fmlaLink="$M$87" lockText="1" noThreeD="1"/>
</file>

<file path=xl/ctrlProps/ctrlProp217.xml><?xml version="1.0" encoding="utf-8"?>
<formControlPr xmlns="http://schemas.microsoft.com/office/spreadsheetml/2009/9/main" objectType="CheckBox" fmlaLink="$M$88" lockText="1" noThreeD="1"/>
</file>

<file path=xl/ctrlProps/ctrlProp218.xml><?xml version="1.0" encoding="utf-8"?>
<formControlPr xmlns="http://schemas.microsoft.com/office/spreadsheetml/2009/9/main" objectType="CheckBox" fmlaLink="$M$89" lockText="1" noThreeD="1"/>
</file>

<file path=xl/ctrlProps/ctrlProp219.xml><?xml version="1.0" encoding="utf-8"?>
<formControlPr xmlns="http://schemas.microsoft.com/office/spreadsheetml/2009/9/main" objectType="CheckBox" fmlaLink="$M$90" lockText="1" noThreeD="1"/>
</file>

<file path=xl/ctrlProps/ctrlProp220.xml><?xml version="1.0" encoding="utf-8"?>
<formControlPr xmlns="http://schemas.microsoft.com/office/spreadsheetml/2009/9/main" objectType="CheckBox" fmlaLink="$M$91" lockText="1" noThreeD="1"/>
</file>

<file path=xl/ctrlProps/ctrlProp221.xml><?xml version="1.0" encoding="utf-8"?>
<formControlPr xmlns="http://schemas.microsoft.com/office/spreadsheetml/2009/9/main" objectType="CheckBox" fmlaLink="$M$92" lockText="1" noThreeD="1"/>
</file>

<file path=xl/ctrlProps/ctrlProp222.xml><?xml version="1.0" encoding="utf-8"?>
<formControlPr xmlns="http://schemas.microsoft.com/office/spreadsheetml/2009/9/main" objectType="CheckBox" fmlaLink="$M$93" lockText="1" noThreeD="1"/>
</file>

<file path=xl/ctrlProps/ctrlProp223.xml><?xml version="1.0" encoding="utf-8"?>
<formControlPr xmlns="http://schemas.microsoft.com/office/spreadsheetml/2009/9/main" objectType="CheckBox" fmlaLink="$M$94" lockText="1" noThreeD="1"/>
</file>

<file path=xl/ctrlProps/ctrlProp224.xml><?xml version="1.0" encoding="utf-8"?>
<formControlPr xmlns="http://schemas.microsoft.com/office/spreadsheetml/2009/9/main" objectType="CheckBox" fmlaLink="$M$95" lockText="1" noThreeD="1"/>
</file>

<file path=xl/ctrlProps/ctrlProp225.xml><?xml version="1.0" encoding="utf-8"?>
<formControlPr xmlns="http://schemas.microsoft.com/office/spreadsheetml/2009/9/main" objectType="CheckBox" fmlaLink="$M$96" lockText="1" noThreeD="1"/>
</file>

<file path=xl/ctrlProps/ctrlProp226.xml><?xml version="1.0" encoding="utf-8"?>
<formControlPr xmlns="http://schemas.microsoft.com/office/spreadsheetml/2009/9/main" objectType="CheckBox" fmlaLink="$M$102" lockText="1" noThreeD="1"/>
</file>

<file path=xl/ctrlProps/ctrlProp227.xml><?xml version="1.0" encoding="utf-8"?>
<formControlPr xmlns="http://schemas.microsoft.com/office/spreadsheetml/2009/9/main" objectType="CheckBox" fmlaLink="$M$103" lockText="1" noThreeD="1"/>
</file>

<file path=xl/ctrlProps/ctrlProp228.xml><?xml version="1.0" encoding="utf-8"?>
<formControlPr xmlns="http://schemas.microsoft.com/office/spreadsheetml/2009/9/main" objectType="CheckBox" fmlaLink="$M$104" lockText="1" noThreeD="1"/>
</file>

<file path=xl/ctrlProps/ctrlProp229.xml><?xml version="1.0" encoding="utf-8"?>
<formControlPr xmlns="http://schemas.microsoft.com/office/spreadsheetml/2009/9/main" objectType="CheckBox" fmlaLink="$M$105" lockText="1" noThreeD="1"/>
</file>

<file path=xl/ctrlProps/ctrlProp230.xml><?xml version="1.0" encoding="utf-8"?>
<formControlPr xmlns="http://schemas.microsoft.com/office/spreadsheetml/2009/9/main" objectType="CheckBox" fmlaLink="$M$106" lockText="1" noThreeD="1"/>
</file>

<file path=xl/ctrlProps/ctrlProp231.xml><?xml version="1.0" encoding="utf-8"?>
<formControlPr xmlns="http://schemas.microsoft.com/office/spreadsheetml/2009/9/main" objectType="CheckBox" fmlaLink="$M$107" lockText="1" noThreeD="1"/>
</file>

<file path=xl/ctrlProps/ctrlProp232.xml><?xml version="1.0" encoding="utf-8"?>
<formControlPr xmlns="http://schemas.microsoft.com/office/spreadsheetml/2009/9/main" objectType="CheckBox" fmlaLink="$M$108" lockText="1" noThreeD="1"/>
</file>

<file path=xl/ctrlProps/ctrlProp233.xml><?xml version="1.0" encoding="utf-8"?>
<formControlPr xmlns="http://schemas.microsoft.com/office/spreadsheetml/2009/9/main" objectType="CheckBox" fmlaLink="$M$109" lockText="1" noThreeD="1"/>
</file>

<file path=xl/ctrlProps/ctrlProp234.xml><?xml version="1.0" encoding="utf-8"?>
<formControlPr xmlns="http://schemas.microsoft.com/office/spreadsheetml/2009/9/main" objectType="CheckBox" fmlaLink="$M$110" lockText="1" noThreeD="1"/>
</file>

<file path=xl/ctrlProps/ctrlProp235.xml><?xml version="1.0" encoding="utf-8"?>
<formControlPr xmlns="http://schemas.microsoft.com/office/spreadsheetml/2009/9/main" objectType="CheckBox" fmlaLink="$M$111" lockText="1" noThreeD="1"/>
</file>

<file path=xl/ctrlProps/ctrlProp236.xml><?xml version="1.0" encoding="utf-8"?>
<formControlPr xmlns="http://schemas.microsoft.com/office/spreadsheetml/2009/9/main" objectType="CheckBox" fmlaLink="$M$112" lockText="1" noThreeD="1"/>
</file>

<file path=xl/ctrlProps/ctrlProp237.xml><?xml version="1.0" encoding="utf-8"?>
<formControlPr xmlns="http://schemas.microsoft.com/office/spreadsheetml/2009/9/main" objectType="CheckBox" fmlaLink="$M$113" lockText="1" noThreeD="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CheckBox" fmlaLink="#REF!" lockText="1" noThreeD="1"/>
</file>

<file path=xl/ctrlProps/ctrlProp240.xml><?xml version="1.0" encoding="utf-8"?>
<formControlPr xmlns="http://schemas.microsoft.com/office/spreadsheetml/2009/9/main" objectType="CheckBox" fmlaLink="#REF!" lockText="1" noThreeD="1"/>
</file>

<file path=xl/ctrlProps/ctrlProp241.xml><?xml version="1.0" encoding="utf-8"?>
<formControlPr xmlns="http://schemas.microsoft.com/office/spreadsheetml/2009/9/main" objectType="CheckBox" fmlaLink="#REF!" lockText="1" noThreeD="1"/>
</file>

<file path=xl/ctrlProps/ctrlProp242.xml><?xml version="1.0" encoding="utf-8"?>
<formControlPr xmlns="http://schemas.microsoft.com/office/spreadsheetml/2009/9/main" objectType="CheckBox" fmlaLink="#REF!" lockText="1" noThreeD="1"/>
</file>

<file path=xl/ctrlProps/ctrlProp243.xml><?xml version="1.0" encoding="utf-8"?>
<formControlPr xmlns="http://schemas.microsoft.com/office/spreadsheetml/2009/9/main" objectType="CheckBox" fmlaLink="#REF!" lockText="1" noThreeD="1"/>
</file>

<file path=xl/ctrlProps/ctrlProp244.xml><?xml version="1.0" encoding="utf-8"?>
<formControlPr xmlns="http://schemas.microsoft.com/office/spreadsheetml/2009/9/main" objectType="CheckBox" fmlaLink="#REF!" lockText="1" noThreeD="1"/>
</file>

<file path=xl/ctrlProps/ctrlProp245.xml><?xml version="1.0" encoding="utf-8"?>
<formControlPr xmlns="http://schemas.microsoft.com/office/spreadsheetml/2009/9/main" objectType="CheckBox" fmlaLink="#REF!" lockText="1" noThreeD="1"/>
</file>

<file path=xl/ctrlProps/ctrlProp246.xml><?xml version="1.0" encoding="utf-8"?>
<formControlPr xmlns="http://schemas.microsoft.com/office/spreadsheetml/2009/9/main" objectType="CheckBox" fmlaLink="#REF!" lockText="1" noThreeD="1"/>
</file>

<file path=xl/ctrlProps/ctrlProp247.xml><?xml version="1.0" encoding="utf-8"?>
<formControlPr xmlns="http://schemas.microsoft.com/office/spreadsheetml/2009/9/main" objectType="CheckBox" fmlaLink="#REF!" lockText="1" noThreeD="1"/>
</file>

<file path=xl/ctrlProps/ctrlProp248.xml><?xml version="1.0" encoding="utf-8"?>
<formControlPr xmlns="http://schemas.microsoft.com/office/spreadsheetml/2009/9/main" objectType="CheckBox" fmlaLink="#REF!" lockText="1" noThreeD="1"/>
</file>

<file path=xl/ctrlProps/ctrlProp249.xml><?xml version="1.0" encoding="utf-8"?>
<formControlPr xmlns="http://schemas.microsoft.com/office/spreadsheetml/2009/9/main" objectType="CheckBox" fmlaLink="#REF!" lockText="1" noThreeD="1"/>
</file>

<file path=xl/ctrlProps/ctrlProp250.xml><?xml version="1.0" encoding="utf-8"?>
<formControlPr xmlns="http://schemas.microsoft.com/office/spreadsheetml/2009/9/main" objectType="CheckBox" fmlaLink="#REF!" lockText="1" noThreeD="1"/>
</file>

<file path=xl/ctrlProps/ctrlProp251.xml><?xml version="1.0" encoding="utf-8"?>
<formControlPr xmlns="http://schemas.microsoft.com/office/spreadsheetml/2009/9/main" objectType="CheckBox" fmlaLink="#REF!" lockText="1" noThreeD="1"/>
</file>

<file path=xl/ctrlProps/ctrlProp252.xml><?xml version="1.0" encoding="utf-8"?>
<formControlPr xmlns="http://schemas.microsoft.com/office/spreadsheetml/2009/9/main" objectType="CheckBox" fmlaLink="#REF!" lockText="1" noThreeD="1"/>
</file>

<file path=xl/ctrlProps/ctrlProp253.xml><?xml version="1.0" encoding="utf-8"?>
<formControlPr xmlns="http://schemas.microsoft.com/office/spreadsheetml/2009/9/main" objectType="CheckBox" fmlaLink="#REF!" lockText="1" noThreeD="1"/>
</file>

<file path=xl/ctrlProps/ctrlProp254.xml><?xml version="1.0" encoding="utf-8"?>
<formControlPr xmlns="http://schemas.microsoft.com/office/spreadsheetml/2009/9/main" objectType="CheckBox" fmlaLink="#REF!" lockText="1" noThreeD="1"/>
</file>

<file path=xl/ctrlProps/ctrlProp255.xml><?xml version="1.0" encoding="utf-8"?>
<formControlPr xmlns="http://schemas.microsoft.com/office/spreadsheetml/2009/9/main" objectType="CheckBox" fmlaLink="#REF!" lockText="1" noThreeD="1"/>
</file>

<file path=xl/ctrlProps/ctrlProp256.xml><?xml version="1.0" encoding="utf-8"?>
<formControlPr xmlns="http://schemas.microsoft.com/office/spreadsheetml/2009/9/main" objectType="CheckBox" fmlaLink="#REF!" lockText="1" noThreeD="1"/>
</file>

<file path=xl/ctrlProps/ctrlProp257.xml><?xml version="1.0" encoding="utf-8"?>
<formControlPr xmlns="http://schemas.microsoft.com/office/spreadsheetml/2009/9/main" objectType="CheckBox" fmlaLink="#REF!" lockText="1" noThreeD="1"/>
</file>

<file path=xl/ctrlProps/ctrlProp258.xml><?xml version="1.0" encoding="utf-8"?>
<formControlPr xmlns="http://schemas.microsoft.com/office/spreadsheetml/2009/9/main" objectType="CheckBox" fmlaLink="#REF!" lockText="1" noThreeD="1"/>
</file>

<file path=xl/ctrlProps/ctrlProp259.xml><?xml version="1.0" encoding="utf-8"?>
<formControlPr xmlns="http://schemas.microsoft.com/office/spreadsheetml/2009/9/main" objectType="CheckBox" fmlaLink="#REF!" lockText="1" noThreeD="1"/>
</file>

<file path=xl/ctrlProps/ctrlProp260.xml><?xml version="1.0" encoding="utf-8"?>
<formControlPr xmlns="http://schemas.microsoft.com/office/spreadsheetml/2009/9/main" objectType="CheckBox" fmlaLink="#REF!" lockText="1" noThreeD="1"/>
</file>

<file path=xl/ctrlProps/ctrlProp261.xml><?xml version="1.0" encoding="utf-8"?>
<formControlPr xmlns="http://schemas.microsoft.com/office/spreadsheetml/2009/9/main" objectType="CheckBox" fmlaLink="#REF!" lockText="1" noThreeD="1"/>
</file>

<file path=xl/ctrlProps/ctrlProp262.xml><?xml version="1.0" encoding="utf-8"?>
<formControlPr xmlns="http://schemas.microsoft.com/office/spreadsheetml/2009/9/main" objectType="CheckBox" fmlaLink="#REF!" lockText="1" noThreeD="1"/>
</file>

<file path=xl/ctrlProps/ctrlProp263.xml><?xml version="1.0" encoding="utf-8"?>
<formControlPr xmlns="http://schemas.microsoft.com/office/spreadsheetml/2009/9/main" objectType="CheckBox" fmlaLink="#REF!" lockText="1" noThreeD="1"/>
</file>

<file path=xl/ctrlProps/ctrlProp264.xml><?xml version="1.0" encoding="utf-8"?>
<formControlPr xmlns="http://schemas.microsoft.com/office/spreadsheetml/2009/9/main" objectType="CheckBox" fmlaLink="#REF!" lockText="1" noThreeD="1"/>
</file>

<file path=xl/ctrlProps/ctrlProp265.xml><?xml version="1.0" encoding="utf-8"?>
<formControlPr xmlns="http://schemas.microsoft.com/office/spreadsheetml/2009/9/main" objectType="CheckBox" fmlaLink="#REF!" lockText="1" noThreeD="1"/>
</file>

<file path=xl/ctrlProps/ctrlProp266.xml><?xml version="1.0" encoding="utf-8"?>
<formControlPr xmlns="http://schemas.microsoft.com/office/spreadsheetml/2009/9/main" objectType="CheckBox" fmlaLink="#REF!" lockText="1" noThreeD="1"/>
</file>

<file path=xl/ctrlProps/ctrlProp267.xml><?xml version="1.0" encoding="utf-8"?>
<formControlPr xmlns="http://schemas.microsoft.com/office/spreadsheetml/2009/9/main" objectType="CheckBox" fmlaLink="#REF!" lockText="1" noThreeD="1"/>
</file>

<file path=xl/ctrlProps/ctrlProp268.xml><?xml version="1.0" encoding="utf-8"?>
<formControlPr xmlns="http://schemas.microsoft.com/office/spreadsheetml/2009/9/main" objectType="CheckBox" fmlaLink="#REF!" lockText="1" noThreeD="1"/>
</file>

<file path=xl/ctrlProps/ctrlProp269.xml><?xml version="1.0" encoding="utf-8"?>
<formControlPr xmlns="http://schemas.microsoft.com/office/spreadsheetml/2009/9/main" objectType="CheckBox" fmlaLink="#REF!" lockText="1" noThreeD="1"/>
</file>

<file path=xl/ctrlProps/ctrlProp270.xml><?xml version="1.0" encoding="utf-8"?>
<formControlPr xmlns="http://schemas.microsoft.com/office/spreadsheetml/2009/9/main" objectType="CheckBox" fmlaLink="#REF!" lockText="1" noThreeD="1"/>
</file>

<file path=xl/ctrlProps/ctrlProp271.xml><?xml version="1.0" encoding="utf-8"?>
<formControlPr xmlns="http://schemas.microsoft.com/office/spreadsheetml/2009/9/main" objectType="CheckBox" fmlaLink="#REF!" lockText="1" noThreeD="1"/>
</file>

<file path=xl/ctrlProps/ctrlProp272.xml><?xml version="1.0" encoding="utf-8"?>
<formControlPr xmlns="http://schemas.microsoft.com/office/spreadsheetml/2009/9/main" objectType="CheckBox" fmlaLink="#REF!" lockText="1" noThreeD="1"/>
</file>

<file path=xl/ctrlProps/ctrlProp273.xml><?xml version="1.0" encoding="utf-8"?>
<formControlPr xmlns="http://schemas.microsoft.com/office/spreadsheetml/2009/9/main" objectType="CheckBox" fmlaLink="#REF!" lockText="1" noThreeD="1"/>
</file>

<file path=xl/ctrlProps/ctrlProp274.xml><?xml version="1.0" encoding="utf-8"?>
<formControlPr xmlns="http://schemas.microsoft.com/office/spreadsheetml/2009/9/main" objectType="CheckBox" fmlaLink="#REF!" lockText="1" noThreeD="1"/>
</file>

<file path=xl/ctrlProps/ctrlProp275.xml><?xml version="1.0" encoding="utf-8"?>
<formControlPr xmlns="http://schemas.microsoft.com/office/spreadsheetml/2009/9/main" objectType="CheckBox" fmlaLink="#REF!" lockText="1" noThreeD="1"/>
</file>

<file path=xl/ctrlProps/ctrlProp276.xml><?xml version="1.0" encoding="utf-8"?>
<formControlPr xmlns="http://schemas.microsoft.com/office/spreadsheetml/2009/9/main" objectType="CheckBox" fmlaLink="#REF!" lockText="1" noThreeD="1"/>
</file>

<file path=xl/ctrlProps/ctrlProp277.xml><?xml version="1.0" encoding="utf-8"?>
<formControlPr xmlns="http://schemas.microsoft.com/office/spreadsheetml/2009/9/main" objectType="CheckBox" fmlaLink="#REF!" lockText="1" noThreeD="1"/>
</file>

<file path=xl/ctrlProps/ctrlProp278.xml><?xml version="1.0" encoding="utf-8"?>
<formControlPr xmlns="http://schemas.microsoft.com/office/spreadsheetml/2009/9/main" objectType="CheckBox" fmlaLink="#REF!" lockText="1" noThreeD="1"/>
</file>

<file path=xl/ctrlProps/ctrlProp279.xml><?xml version="1.0" encoding="utf-8"?>
<formControlPr xmlns="http://schemas.microsoft.com/office/spreadsheetml/2009/9/main" objectType="CheckBox" fmlaLink="#REF!" lockText="1" noThreeD="1"/>
</file>

<file path=xl/ctrlProps/ctrlProp280.xml><?xml version="1.0" encoding="utf-8"?>
<formControlPr xmlns="http://schemas.microsoft.com/office/spreadsheetml/2009/9/main" objectType="CheckBox" fmlaLink="#REF!" lockText="1" noThreeD="1"/>
</file>

<file path=xl/ctrlProps/ctrlProp281.xml><?xml version="1.0" encoding="utf-8"?>
<formControlPr xmlns="http://schemas.microsoft.com/office/spreadsheetml/2009/9/main" objectType="CheckBox" fmlaLink="#REF!" lockText="1" noThreeD="1"/>
</file>

<file path=xl/ctrlProps/ctrlProp282.xml><?xml version="1.0" encoding="utf-8"?>
<formControlPr xmlns="http://schemas.microsoft.com/office/spreadsheetml/2009/9/main" objectType="CheckBox" fmlaLink="#REF!" lockText="1" noThreeD="1"/>
</file>

<file path=xl/ctrlProps/ctrlProp283.xml><?xml version="1.0" encoding="utf-8"?>
<formControlPr xmlns="http://schemas.microsoft.com/office/spreadsheetml/2009/9/main" objectType="CheckBox" fmlaLink="#REF!" lockText="1" noThreeD="1"/>
</file>

<file path=xl/ctrlProps/ctrlProp284.xml><?xml version="1.0" encoding="utf-8"?>
<formControlPr xmlns="http://schemas.microsoft.com/office/spreadsheetml/2009/9/main" objectType="CheckBox" fmlaLink="#REF!" lockText="1" noThreeD="1"/>
</file>

<file path=xl/ctrlProps/ctrlProp285.xml><?xml version="1.0" encoding="utf-8"?>
<formControlPr xmlns="http://schemas.microsoft.com/office/spreadsheetml/2009/9/main" objectType="CheckBox" fmlaLink="#REF!" lockText="1" noThreeD="1"/>
</file>

<file path=xl/ctrlProps/ctrlProp286.xml><?xml version="1.0" encoding="utf-8"?>
<formControlPr xmlns="http://schemas.microsoft.com/office/spreadsheetml/2009/9/main" objectType="CheckBox" fmlaLink="#REF!" lockText="1" noThreeD="1"/>
</file>

<file path=xl/ctrlProps/ctrlProp287.xml><?xml version="1.0" encoding="utf-8"?>
<formControlPr xmlns="http://schemas.microsoft.com/office/spreadsheetml/2009/9/main" objectType="CheckBox" fmlaLink="#REF!" lockText="1" noThreeD="1"/>
</file>

<file path=xl/ctrlProps/ctrlProp288.xml><?xml version="1.0" encoding="utf-8"?>
<formControlPr xmlns="http://schemas.microsoft.com/office/spreadsheetml/2009/9/main" objectType="CheckBox" fmlaLink="#REF!" lockText="1" noThreeD="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GBox"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GBox" noThreeD="1"/>
</file>

<file path=xl/ctrlProps/ctrlProp298.xml><?xml version="1.0" encoding="utf-8"?>
<formControlPr xmlns="http://schemas.microsoft.com/office/spreadsheetml/2009/9/main" objectType="GBox" noThreeD="1"/>
</file>

<file path=xl/ctrlProps/ctrlProp299.xml><?xml version="1.0" encoding="utf-8"?>
<formControlPr xmlns="http://schemas.microsoft.com/office/spreadsheetml/2009/9/main" objectType="CheckBox" checked="Checked" fmlaLink="$C$59" lockText="1" noThreeD="1"/>
</file>

<file path=xl/ctrlProps/ctrlProp300.xml><?xml version="1.0" encoding="utf-8"?>
<formControlPr xmlns="http://schemas.microsoft.com/office/spreadsheetml/2009/9/main" objectType="CheckBox" checked="Checked" fmlaLink="$C$60" lockText="1" noThreeD="1"/>
</file>

<file path=xl/ctrlProps/ctrlProp301.xml><?xml version="1.0" encoding="utf-8"?>
<formControlPr xmlns="http://schemas.microsoft.com/office/spreadsheetml/2009/9/main" objectType="CheckBox" checked="Checked" fmlaLink="$C$61" lockText="1" noThreeD="1"/>
</file>

<file path=xl/ctrlProps/ctrlProp302.xml><?xml version="1.0" encoding="utf-8"?>
<formControlPr xmlns="http://schemas.microsoft.com/office/spreadsheetml/2009/9/main" objectType="CheckBox" checked="Checked" fmlaLink="$C$62" lockText="1" noThreeD="1"/>
</file>

<file path=xl/ctrlProps/ctrlProp303.xml><?xml version="1.0" encoding="utf-8"?>
<formControlPr xmlns="http://schemas.microsoft.com/office/spreadsheetml/2009/9/main" objectType="CheckBox" checked="Checked" fmlaLink="$C$63" lockText="1" noThreeD="1"/>
</file>

<file path=xl/ctrlProps/ctrlProp304.xml><?xml version="1.0" encoding="utf-8"?>
<formControlPr xmlns="http://schemas.microsoft.com/office/spreadsheetml/2009/9/main" objectType="CheckBox" checked="Checked" fmlaLink="$C$64" lockText="1" noThreeD="1"/>
</file>

<file path=xl/ctrlProps/ctrlProp305.xml><?xml version="1.0" encoding="utf-8"?>
<formControlPr xmlns="http://schemas.microsoft.com/office/spreadsheetml/2009/9/main" objectType="CheckBox" checked="Checked" fmlaLink="$C$65" lockText="1" noThreeD="1"/>
</file>

<file path=xl/ctrlProps/ctrlProp306.xml><?xml version="1.0" encoding="utf-8"?>
<formControlPr xmlns="http://schemas.microsoft.com/office/spreadsheetml/2009/9/main" objectType="CheckBox" checked="Checked" fmlaLink="$C$66" lockText="1" noThreeD="1"/>
</file>

<file path=xl/ctrlProps/ctrlProp307.xml><?xml version="1.0" encoding="utf-8"?>
<formControlPr xmlns="http://schemas.microsoft.com/office/spreadsheetml/2009/9/main" objectType="CheckBox" fmlaLink="$C$67" lockText="1" noThreeD="1"/>
</file>

<file path=xl/ctrlProps/ctrlProp308.xml><?xml version="1.0" encoding="utf-8"?>
<formControlPr xmlns="http://schemas.microsoft.com/office/spreadsheetml/2009/9/main" objectType="CheckBox" checked="Checked" fmlaLink="$C$68" lockText="1" noThreeD="1"/>
</file>

<file path=xl/ctrlProps/ctrlProp309.xml><?xml version="1.0" encoding="utf-8"?>
<formControlPr xmlns="http://schemas.microsoft.com/office/spreadsheetml/2009/9/main" objectType="CheckBox" checked="Checked" fmlaLink="$C$69" lockText="1" noThreeD="1"/>
</file>

<file path=xl/ctrlProps/ctrlProp310.xml><?xml version="1.0" encoding="utf-8"?>
<formControlPr xmlns="http://schemas.microsoft.com/office/spreadsheetml/2009/9/main" objectType="CheckBox" fmlaLink="$C$70" lockText="1" noThreeD="1"/>
</file>

<file path=xl/ctrlProps/ctrlProp311.xml><?xml version="1.0" encoding="utf-8"?>
<formControlPr xmlns="http://schemas.microsoft.com/office/spreadsheetml/2009/9/main" objectType="CheckBox" checked="Checked" fmlaLink="$C$71" lockText="1" noThreeD="1"/>
</file>

<file path=xl/ctrlProps/ctrlProp312.xml><?xml version="1.0" encoding="utf-8"?>
<formControlPr xmlns="http://schemas.microsoft.com/office/spreadsheetml/2009/9/main" objectType="CheckBox" checked="Checked" fmlaLink="$C$72" lockText="1" noThreeD="1"/>
</file>

<file path=xl/ctrlProps/ctrlProp313.xml><?xml version="1.0" encoding="utf-8"?>
<formControlPr xmlns="http://schemas.microsoft.com/office/spreadsheetml/2009/9/main" objectType="CheckBox" checked="Checked" fmlaLink="$C$73" lockText="1" noThreeD="1"/>
</file>

<file path=xl/ctrlProps/ctrlProp314.xml><?xml version="1.0" encoding="utf-8"?>
<formControlPr xmlns="http://schemas.microsoft.com/office/spreadsheetml/2009/9/main" objectType="CheckBox" checked="Checked" fmlaLink="$C$74" lockText="1" noThreeD="1"/>
</file>

<file path=xl/ctrlProps/ctrlProp315.xml><?xml version="1.0" encoding="utf-8"?>
<formControlPr xmlns="http://schemas.microsoft.com/office/spreadsheetml/2009/9/main" objectType="CheckBox" checked="Checked" fmlaLink="$C$75" lockText="1" noThreeD="1"/>
</file>

<file path=xl/ctrlProps/ctrlProp316.xml><?xml version="1.0" encoding="utf-8"?>
<formControlPr xmlns="http://schemas.microsoft.com/office/spreadsheetml/2009/9/main" objectType="CheckBox" fmlaLink="$C$76" lockText="1" noThreeD="1"/>
</file>

<file path=xl/ctrlProps/ctrlProp317.xml><?xml version="1.0" encoding="utf-8"?>
<formControlPr xmlns="http://schemas.microsoft.com/office/spreadsheetml/2009/9/main" objectType="CheckBox" checked="Checked" fmlaLink="$C$77" lockText="1" noThreeD="1"/>
</file>

<file path=xl/ctrlProps/ctrlProp318.xml><?xml version="1.0" encoding="utf-8"?>
<formControlPr xmlns="http://schemas.microsoft.com/office/spreadsheetml/2009/9/main" objectType="CheckBox" checked="Checked" fmlaLink="$C$78" lockText="1" noThreeD="1"/>
</file>

<file path=xl/ctrlProps/ctrlProp319.xml><?xml version="1.0" encoding="utf-8"?>
<formControlPr xmlns="http://schemas.microsoft.com/office/spreadsheetml/2009/9/main" objectType="CheckBox" checked="Checked" fmlaLink="$C$79" lockText="1" noThreeD="1"/>
</file>

<file path=xl/ctrlProps/ctrlProp320.xml><?xml version="1.0" encoding="utf-8"?>
<formControlPr xmlns="http://schemas.microsoft.com/office/spreadsheetml/2009/9/main" objectType="CheckBox" checked="Checked" fmlaLink="$C$80" lockText="1" noThreeD="1"/>
</file>

<file path=xl/ctrlProps/ctrlProp321.xml><?xml version="1.0" encoding="utf-8"?>
<formControlPr xmlns="http://schemas.microsoft.com/office/spreadsheetml/2009/9/main" objectType="CheckBox" checked="Checked" fmlaLink="$C$81" lockText="1" noThreeD="1"/>
</file>

<file path=xl/ctrlProps/ctrlProp322.xml><?xml version="1.0" encoding="utf-8"?>
<formControlPr xmlns="http://schemas.microsoft.com/office/spreadsheetml/2009/9/main" objectType="CheckBox" checked="Checked" fmlaLink="$C$82" lockText="1" noThreeD="1"/>
</file>

<file path=xl/ctrlProps/ctrlProp323.xml><?xml version="1.0" encoding="utf-8"?>
<formControlPr xmlns="http://schemas.microsoft.com/office/spreadsheetml/2009/9/main" objectType="CheckBox" checked="Checked" fmlaLink="$C$83" lockText="1" noThreeD="1"/>
</file>

<file path=xl/ctrlProps/ctrlProp324.xml><?xml version="1.0" encoding="utf-8"?>
<formControlPr xmlns="http://schemas.microsoft.com/office/spreadsheetml/2009/9/main" objectType="CheckBox" checked="Checked" fmlaLink="$C$84" lockText="1" noThreeD="1"/>
</file>

<file path=xl/ctrlProps/ctrlProp325.xml><?xml version="1.0" encoding="utf-8"?>
<formControlPr xmlns="http://schemas.microsoft.com/office/spreadsheetml/2009/9/main" objectType="CheckBox" checked="Checked" fmlaLink="$C$85" lockText="1" noThreeD="1"/>
</file>

<file path=xl/ctrlProps/ctrlProp326.xml><?xml version="1.0" encoding="utf-8"?>
<formControlPr xmlns="http://schemas.microsoft.com/office/spreadsheetml/2009/9/main" objectType="CheckBox" checked="Checked" fmlaLink="$C$86" lockText="1" noThreeD="1"/>
</file>

<file path=xl/ctrlProps/ctrlProp327.xml><?xml version="1.0" encoding="utf-8"?>
<formControlPr xmlns="http://schemas.microsoft.com/office/spreadsheetml/2009/9/main" objectType="CheckBox" checked="Checked" fmlaLink="$C$87" lockText="1" noThreeD="1"/>
</file>

<file path=xl/ctrlProps/ctrlProp328.xml><?xml version="1.0" encoding="utf-8"?>
<formControlPr xmlns="http://schemas.microsoft.com/office/spreadsheetml/2009/9/main" objectType="CheckBox" checked="Checked" fmlaLink="$C$88" lockText="1" noThreeD="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2316538</xdr:colOff>
      <xdr:row>0</xdr:row>
      <xdr:rowOff>87089</xdr:rowOff>
    </xdr:from>
    <xdr:to>
      <xdr:col>7</xdr:col>
      <xdr:colOff>448291</xdr:colOff>
      <xdr:row>0</xdr:row>
      <xdr:rowOff>857998</xdr:rowOff>
    </xdr:to>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89001" y="87089"/>
          <a:ext cx="1145633" cy="770909"/>
        </a:xfrm>
        <a:prstGeom prst="rect">
          <a:avLst/>
        </a:prstGeom>
      </xdr:spPr>
    </xdr:pic>
    <xdr:clientData/>
  </xdr:twoCellAnchor>
  <xdr:twoCellAnchor editAs="oneCell">
    <xdr:from>
      <xdr:col>1</xdr:col>
      <xdr:colOff>1008631</xdr:colOff>
      <xdr:row>0</xdr:row>
      <xdr:rowOff>124366</xdr:rowOff>
    </xdr:from>
    <xdr:to>
      <xdr:col>3</xdr:col>
      <xdr:colOff>59522</xdr:colOff>
      <xdr:row>0</xdr:row>
      <xdr:rowOff>680323</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81541" y="124366"/>
          <a:ext cx="1107533" cy="555957"/>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390525</xdr:colOff>
          <xdr:row>20</xdr:row>
          <xdr:rowOff>66675</xdr:rowOff>
        </xdr:from>
        <xdr:to>
          <xdr:col>6</xdr:col>
          <xdr:colOff>981075</xdr:colOff>
          <xdr:row>22</xdr:row>
          <xdr:rowOff>142875</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D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1" i="0" u="none" strike="noStrike" baseline="0">
                  <a:solidFill>
                    <a:srgbClr val="000000"/>
                  </a:solidFill>
                  <a:latin typeface="Calibri"/>
                  <a:cs typeface="Calibri"/>
                </a:rPr>
                <a:t>Next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4</xdr:row>
          <xdr:rowOff>200025</xdr:rowOff>
        </xdr:from>
        <xdr:to>
          <xdr:col>5</xdr:col>
          <xdr:colOff>447675</xdr:colOff>
          <xdr:row>4</xdr:row>
          <xdr:rowOff>457200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E00-00000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5</xdr:row>
          <xdr:rowOff>200025</xdr:rowOff>
        </xdr:from>
        <xdr:to>
          <xdr:col>5</xdr:col>
          <xdr:colOff>447675</xdr:colOff>
          <xdr:row>5</xdr:row>
          <xdr:rowOff>457200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E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6</xdr:row>
          <xdr:rowOff>200025</xdr:rowOff>
        </xdr:from>
        <xdr:to>
          <xdr:col>5</xdr:col>
          <xdr:colOff>447675</xdr:colOff>
          <xdr:row>6</xdr:row>
          <xdr:rowOff>457200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E00-00000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7</xdr:row>
          <xdr:rowOff>200025</xdr:rowOff>
        </xdr:from>
        <xdr:to>
          <xdr:col>5</xdr:col>
          <xdr:colOff>447675</xdr:colOff>
          <xdr:row>7</xdr:row>
          <xdr:rowOff>457200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E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xdr:row>
          <xdr:rowOff>200025</xdr:rowOff>
        </xdr:from>
        <xdr:to>
          <xdr:col>5</xdr:col>
          <xdr:colOff>447675</xdr:colOff>
          <xdr:row>8</xdr:row>
          <xdr:rowOff>457200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E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xdr:row>
          <xdr:rowOff>200025</xdr:rowOff>
        </xdr:from>
        <xdr:to>
          <xdr:col>5</xdr:col>
          <xdr:colOff>447675</xdr:colOff>
          <xdr:row>9</xdr:row>
          <xdr:rowOff>457200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E00-00000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10</xdr:row>
          <xdr:rowOff>200025</xdr:rowOff>
        </xdr:from>
        <xdr:to>
          <xdr:col>5</xdr:col>
          <xdr:colOff>447675</xdr:colOff>
          <xdr:row>10</xdr:row>
          <xdr:rowOff>457200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E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12</xdr:row>
          <xdr:rowOff>200025</xdr:rowOff>
        </xdr:from>
        <xdr:to>
          <xdr:col>5</xdr:col>
          <xdr:colOff>447675</xdr:colOff>
          <xdr:row>12</xdr:row>
          <xdr:rowOff>457200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E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13</xdr:row>
          <xdr:rowOff>200025</xdr:rowOff>
        </xdr:from>
        <xdr:to>
          <xdr:col>5</xdr:col>
          <xdr:colOff>447675</xdr:colOff>
          <xdr:row>13</xdr:row>
          <xdr:rowOff>457200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E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14</xdr:row>
          <xdr:rowOff>200025</xdr:rowOff>
        </xdr:from>
        <xdr:to>
          <xdr:col>5</xdr:col>
          <xdr:colOff>447675</xdr:colOff>
          <xdr:row>14</xdr:row>
          <xdr:rowOff>457200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E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15</xdr:row>
          <xdr:rowOff>200025</xdr:rowOff>
        </xdr:from>
        <xdr:to>
          <xdr:col>5</xdr:col>
          <xdr:colOff>447675</xdr:colOff>
          <xdr:row>15</xdr:row>
          <xdr:rowOff>457200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E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16</xdr:row>
          <xdr:rowOff>200025</xdr:rowOff>
        </xdr:from>
        <xdr:to>
          <xdr:col>5</xdr:col>
          <xdr:colOff>447675</xdr:colOff>
          <xdr:row>16</xdr:row>
          <xdr:rowOff>457200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E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17</xdr:row>
          <xdr:rowOff>200025</xdr:rowOff>
        </xdr:from>
        <xdr:to>
          <xdr:col>5</xdr:col>
          <xdr:colOff>447675</xdr:colOff>
          <xdr:row>17</xdr:row>
          <xdr:rowOff>457200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E00-00000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19</xdr:row>
          <xdr:rowOff>200025</xdr:rowOff>
        </xdr:from>
        <xdr:to>
          <xdr:col>5</xdr:col>
          <xdr:colOff>447675</xdr:colOff>
          <xdr:row>19</xdr:row>
          <xdr:rowOff>457200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E00-00001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20</xdr:row>
          <xdr:rowOff>200025</xdr:rowOff>
        </xdr:from>
        <xdr:to>
          <xdr:col>5</xdr:col>
          <xdr:colOff>447675</xdr:colOff>
          <xdr:row>20</xdr:row>
          <xdr:rowOff>457200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E00-00001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21</xdr:row>
          <xdr:rowOff>200025</xdr:rowOff>
        </xdr:from>
        <xdr:to>
          <xdr:col>5</xdr:col>
          <xdr:colOff>447675</xdr:colOff>
          <xdr:row>21</xdr:row>
          <xdr:rowOff>457200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E00-00001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22</xdr:row>
          <xdr:rowOff>200025</xdr:rowOff>
        </xdr:from>
        <xdr:to>
          <xdr:col>5</xdr:col>
          <xdr:colOff>447675</xdr:colOff>
          <xdr:row>22</xdr:row>
          <xdr:rowOff>457200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E00-00001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23</xdr:row>
          <xdr:rowOff>200025</xdr:rowOff>
        </xdr:from>
        <xdr:to>
          <xdr:col>5</xdr:col>
          <xdr:colOff>447675</xdr:colOff>
          <xdr:row>23</xdr:row>
          <xdr:rowOff>457200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E00-00001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25</xdr:row>
          <xdr:rowOff>200025</xdr:rowOff>
        </xdr:from>
        <xdr:to>
          <xdr:col>5</xdr:col>
          <xdr:colOff>447675</xdr:colOff>
          <xdr:row>25</xdr:row>
          <xdr:rowOff>457200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E00-00001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26</xdr:row>
          <xdr:rowOff>200025</xdr:rowOff>
        </xdr:from>
        <xdr:to>
          <xdr:col>5</xdr:col>
          <xdr:colOff>447675</xdr:colOff>
          <xdr:row>26</xdr:row>
          <xdr:rowOff>457200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E00-00001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27</xdr:row>
          <xdr:rowOff>200025</xdr:rowOff>
        </xdr:from>
        <xdr:to>
          <xdr:col>5</xdr:col>
          <xdr:colOff>447675</xdr:colOff>
          <xdr:row>27</xdr:row>
          <xdr:rowOff>457200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E00-00001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28</xdr:row>
          <xdr:rowOff>200025</xdr:rowOff>
        </xdr:from>
        <xdr:to>
          <xdr:col>5</xdr:col>
          <xdr:colOff>447675</xdr:colOff>
          <xdr:row>28</xdr:row>
          <xdr:rowOff>457200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E00-00001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29</xdr:row>
          <xdr:rowOff>200025</xdr:rowOff>
        </xdr:from>
        <xdr:to>
          <xdr:col>5</xdr:col>
          <xdr:colOff>447675</xdr:colOff>
          <xdr:row>29</xdr:row>
          <xdr:rowOff>457200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E00-00001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31</xdr:row>
          <xdr:rowOff>200025</xdr:rowOff>
        </xdr:from>
        <xdr:to>
          <xdr:col>5</xdr:col>
          <xdr:colOff>447675</xdr:colOff>
          <xdr:row>31</xdr:row>
          <xdr:rowOff>457200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E00-00001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32</xdr:row>
          <xdr:rowOff>200025</xdr:rowOff>
        </xdr:from>
        <xdr:to>
          <xdr:col>5</xdr:col>
          <xdr:colOff>447675</xdr:colOff>
          <xdr:row>32</xdr:row>
          <xdr:rowOff>457200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E00-00001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33</xdr:row>
          <xdr:rowOff>200025</xdr:rowOff>
        </xdr:from>
        <xdr:to>
          <xdr:col>5</xdr:col>
          <xdr:colOff>447675</xdr:colOff>
          <xdr:row>33</xdr:row>
          <xdr:rowOff>457200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E00-00001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34</xdr:row>
          <xdr:rowOff>200025</xdr:rowOff>
        </xdr:from>
        <xdr:to>
          <xdr:col>5</xdr:col>
          <xdr:colOff>447675</xdr:colOff>
          <xdr:row>34</xdr:row>
          <xdr:rowOff>457200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E00-00001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35</xdr:row>
          <xdr:rowOff>200025</xdr:rowOff>
        </xdr:from>
        <xdr:to>
          <xdr:col>5</xdr:col>
          <xdr:colOff>447675</xdr:colOff>
          <xdr:row>35</xdr:row>
          <xdr:rowOff>457200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E00-00002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37</xdr:row>
          <xdr:rowOff>200025</xdr:rowOff>
        </xdr:from>
        <xdr:to>
          <xdr:col>5</xdr:col>
          <xdr:colOff>447675</xdr:colOff>
          <xdr:row>37</xdr:row>
          <xdr:rowOff>457200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E00-00002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38</xdr:row>
          <xdr:rowOff>200025</xdr:rowOff>
        </xdr:from>
        <xdr:to>
          <xdr:col>5</xdr:col>
          <xdr:colOff>447675</xdr:colOff>
          <xdr:row>38</xdr:row>
          <xdr:rowOff>457200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E00-00002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39</xdr:row>
          <xdr:rowOff>200025</xdr:rowOff>
        </xdr:from>
        <xdr:to>
          <xdr:col>5</xdr:col>
          <xdr:colOff>447675</xdr:colOff>
          <xdr:row>39</xdr:row>
          <xdr:rowOff>457200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E00-00002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40</xdr:row>
          <xdr:rowOff>200025</xdr:rowOff>
        </xdr:from>
        <xdr:to>
          <xdr:col>5</xdr:col>
          <xdr:colOff>447675</xdr:colOff>
          <xdr:row>40</xdr:row>
          <xdr:rowOff>457200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E00-00002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42</xdr:row>
          <xdr:rowOff>200025</xdr:rowOff>
        </xdr:from>
        <xdr:to>
          <xdr:col>5</xdr:col>
          <xdr:colOff>447675</xdr:colOff>
          <xdr:row>42</xdr:row>
          <xdr:rowOff>457200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E00-00002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43</xdr:row>
          <xdr:rowOff>200025</xdr:rowOff>
        </xdr:from>
        <xdr:to>
          <xdr:col>5</xdr:col>
          <xdr:colOff>447675</xdr:colOff>
          <xdr:row>43</xdr:row>
          <xdr:rowOff>457200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E00-00002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44</xdr:row>
          <xdr:rowOff>200025</xdr:rowOff>
        </xdr:from>
        <xdr:to>
          <xdr:col>5</xdr:col>
          <xdr:colOff>447675</xdr:colOff>
          <xdr:row>44</xdr:row>
          <xdr:rowOff>457200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E00-00002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45</xdr:row>
          <xdr:rowOff>200025</xdr:rowOff>
        </xdr:from>
        <xdr:to>
          <xdr:col>5</xdr:col>
          <xdr:colOff>447675</xdr:colOff>
          <xdr:row>45</xdr:row>
          <xdr:rowOff>457200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E00-00002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46</xdr:row>
          <xdr:rowOff>200025</xdr:rowOff>
        </xdr:from>
        <xdr:to>
          <xdr:col>5</xdr:col>
          <xdr:colOff>447675</xdr:colOff>
          <xdr:row>46</xdr:row>
          <xdr:rowOff>457200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E00-00002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4152900</xdr:colOff>
          <xdr:row>51</xdr:row>
          <xdr:rowOff>76200</xdr:rowOff>
        </xdr:from>
        <xdr:to>
          <xdr:col>3</xdr:col>
          <xdr:colOff>581025</xdr:colOff>
          <xdr:row>53</xdr:row>
          <xdr:rowOff>161925</xdr:rowOff>
        </xdr:to>
        <xdr:sp macro="" textlink="">
          <xdr:nvSpPr>
            <xdr:cNvPr id="6188" name="Button 44" hidden="1">
              <a:extLst>
                <a:ext uri="{63B3BB69-23CF-44E3-9099-C40C66FF867C}">
                  <a14:compatExt spid="_x0000_s6188"/>
                </a:ext>
                <a:ext uri="{FF2B5EF4-FFF2-40B4-BE49-F238E27FC236}">
                  <a16:creationId xmlns:a16="http://schemas.microsoft.com/office/drawing/2014/main" id="{00000000-0008-0000-0E00-00002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962025</xdr:colOff>
          <xdr:row>51</xdr:row>
          <xdr:rowOff>85725</xdr:rowOff>
        </xdr:from>
        <xdr:to>
          <xdr:col>2</xdr:col>
          <xdr:colOff>2143125</xdr:colOff>
          <xdr:row>53</xdr:row>
          <xdr:rowOff>161925</xdr:rowOff>
        </xdr:to>
        <xdr:sp macro="" textlink="">
          <xdr:nvSpPr>
            <xdr:cNvPr id="6189" name="Button 45" hidden="1">
              <a:extLst>
                <a:ext uri="{63B3BB69-23CF-44E3-9099-C40C66FF867C}">
                  <a14:compatExt spid="_x0000_s6189"/>
                </a:ext>
                <a:ext uri="{FF2B5EF4-FFF2-40B4-BE49-F238E27FC236}">
                  <a16:creationId xmlns:a16="http://schemas.microsoft.com/office/drawing/2014/main" id="{00000000-0008-0000-0E00-00002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48</xdr:row>
          <xdr:rowOff>200025</xdr:rowOff>
        </xdr:from>
        <xdr:to>
          <xdr:col>5</xdr:col>
          <xdr:colOff>447675</xdr:colOff>
          <xdr:row>48</xdr:row>
          <xdr:rowOff>457200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E00-00002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4</xdr:row>
          <xdr:rowOff>200025</xdr:rowOff>
        </xdr:from>
        <xdr:to>
          <xdr:col>5</xdr:col>
          <xdr:colOff>447675</xdr:colOff>
          <xdr:row>4</xdr:row>
          <xdr:rowOff>457200</xdr:rowOff>
        </xdr:to>
        <xdr:sp macro="" textlink="">
          <xdr:nvSpPr>
            <xdr:cNvPr id="107521" name="Check Box 1" hidden="1">
              <a:extLst>
                <a:ext uri="{63B3BB69-23CF-44E3-9099-C40C66FF867C}">
                  <a14:compatExt spid="_x0000_s107521"/>
                </a:ext>
                <a:ext uri="{FF2B5EF4-FFF2-40B4-BE49-F238E27FC236}">
                  <a16:creationId xmlns:a16="http://schemas.microsoft.com/office/drawing/2014/main" id="{00000000-0008-0000-0F00-000001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5</xdr:row>
          <xdr:rowOff>200025</xdr:rowOff>
        </xdr:from>
        <xdr:to>
          <xdr:col>5</xdr:col>
          <xdr:colOff>447675</xdr:colOff>
          <xdr:row>5</xdr:row>
          <xdr:rowOff>457200</xdr:rowOff>
        </xdr:to>
        <xdr:sp macro="" textlink="">
          <xdr:nvSpPr>
            <xdr:cNvPr id="107522" name="Check Box 2" hidden="1">
              <a:extLst>
                <a:ext uri="{63B3BB69-23CF-44E3-9099-C40C66FF867C}">
                  <a14:compatExt spid="_x0000_s107522"/>
                </a:ext>
                <a:ext uri="{FF2B5EF4-FFF2-40B4-BE49-F238E27FC236}">
                  <a16:creationId xmlns:a16="http://schemas.microsoft.com/office/drawing/2014/main" id="{00000000-0008-0000-0F00-000002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6</xdr:row>
          <xdr:rowOff>200025</xdr:rowOff>
        </xdr:from>
        <xdr:to>
          <xdr:col>5</xdr:col>
          <xdr:colOff>447675</xdr:colOff>
          <xdr:row>6</xdr:row>
          <xdr:rowOff>457200</xdr:rowOff>
        </xdr:to>
        <xdr:sp macro="" textlink="">
          <xdr:nvSpPr>
            <xdr:cNvPr id="107523" name="Check Box 3" hidden="1">
              <a:extLst>
                <a:ext uri="{63B3BB69-23CF-44E3-9099-C40C66FF867C}">
                  <a14:compatExt spid="_x0000_s107523"/>
                </a:ext>
                <a:ext uri="{FF2B5EF4-FFF2-40B4-BE49-F238E27FC236}">
                  <a16:creationId xmlns:a16="http://schemas.microsoft.com/office/drawing/2014/main" id="{00000000-0008-0000-0F00-000003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7</xdr:row>
          <xdr:rowOff>200025</xdr:rowOff>
        </xdr:from>
        <xdr:to>
          <xdr:col>5</xdr:col>
          <xdr:colOff>447675</xdr:colOff>
          <xdr:row>7</xdr:row>
          <xdr:rowOff>457200</xdr:rowOff>
        </xdr:to>
        <xdr:sp macro="" textlink="">
          <xdr:nvSpPr>
            <xdr:cNvPr id="107524" name="Check Box 4" hidden="1">
              <a:extLst>
                <a:ext uri="{63B3BB69-23CF-44E3-9099-C40C66FF867C}">
                  <a14:compatExt spid="_x0000_s107524"/>
                </a:ext>
                <a:ext uri="{FF2B5EF4-FFF2-40B4-BE49-F238E27FC236}">
                  <a16:creationId xmlns:a16="http://schemas.microsoft.com/office/drawing/2014/main" id="{00000000-0008-0000-0F00-000004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xdr:row>
          <xdr:rowOff>200025</xdr:rowOff>
        </xdr:from>
        <xdr:to>
          <xdr:col>5</xdr:col>
          <xdr:colOff>447675</xdr:colOff>
          <xdr:row>8</xdr:row>
          <xdr:rowOff>457200</xdr:rowOff>
        </xdr:to>
        <xdr:sp macro="" textlink="">
          <xdr:nvSpPr>
            <xdr:cNvPr id="107525" name="Check Box 5" hidden="1">
              <a:extLst>
                <a:ext uri="{63B3BB69-23CF-44E3-9099-C40C66FF867C}">
                  <a14:compatExt spid="_x0000_s107525"/>
                </a:ext>
                <a:ext uri="{FF2B5EF4-FFF2-40B4-BE49-F238E27FC236}">
                  <a16:creationId xmlns:a16="http://schemas.microsoft.com/office/drawing/2014/main" id="{00000000-0008-0000-0F00-000005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xdr:row>
          <xdr:rowOff>200025</xdr:rowOff>
        </xdr:from>
        <xdr:to>
          <xdr:col>5</xdr:col>
          <xdr:colOff>447675</xdr:colOff>
          <xdr:row>9</xdr:row>
          <xdr:rowOff>457200</xdr:rowOff>
        </xdr:to>
        <xdr:sp macro="" textlink="">
          <xdr:nvSpPr>
            <xdr:cNvPr id="107526" name="Check Box 6" hidden="1">
              <a:extLst>
                <a:ext uri="{63B3BB69-23CF-44E3-9099-C40C66FF867C}">
                  <a14:compatExt spid="_x0000_s107526"/>
                </a:ext>
                <a:ext uri="{FF2B5EF4-FFF2-40B4-BE49-F238E27FC236}">
                  <a16:creationId xmlns:a16="http://schemas.microsoft.com/office/drawing/2014/main" id="{00000000-0008-0000-0F00-000006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10</xdr:row>
          <xdr:rowOff>200025</xdr:rowOff>
        </xdr:from>
        <xdr:to>
          <xdr:col>5</xdr:col>
          <xdr:colOff>447675</xdr:colOff>
          <xdr:row>10</xdr:row>
          <xdr:rowOff>457200</xdr:rowOff>
        </xdr:to>
        <xdr:sp macro="" textlink="">
          <xdr:nvSpPr>
            <xdr:cNvPr id="107527" name="Check Box 7" hidden="1">
              <a:extLst>
                <a:ext uri="{63B3BB69-23CF-44E3-9099-C40C66FF867C}">
                  <a14:compatExt spid="_x0000_s107527"/>
                </a:ext>
                <a:ext uri="{FF2B5EF4-FFF2-40B4-BE49-F238E27FC236}">
                  <a16:creationId xmlns:a16="http://schemas.microsoft.com/office/drawing/2014/main" id="{00000000-0008-0000-0F00-000007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12</xdr:row>
          <xdr:rowOff>200025</xdr:rowOff>
        </xdr:from>
        <xdr:to>
          <xdr:col>5</xdr:col>
          <xdr:colOff>447675</xdr:colOff>
          <xdr:row>12</xdr:row>
          <xdr:rowOff>457200</xdr:rowOff>
        </xdr:to>
        <xdr:sp macro="" textlink="">
          <xdr:nvSpPr>
            <xdr:cNvPr id="107528" name="Check Box 8" hidden="1">
              <a:extLst>
                <a:ext uri="{63B3BB69-23CF-44E3-9099-C40C66FF867C}">
                  <a14:compatExt spid="_x0000_s107528"/>
                </a:ext>
                <a:ext uri="{FF2B5EF4-FFF2-40B4-BE49-F238E27FC236}">
                  <a16:creationId xmlns:a16="http://schemas.microsoft.com/office/drawing/2014/main" id="{00000000-0008-0000-0F00-000008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13</xdr:row>
          <xdr:rowOff>200025</xdr:rowOff>
        </xdr:from>
        <xdr:to>
          <xdr:col>5</xdr:col>
          <xdr:colOff>447675</xdr:colOff>
          <xdr:row>13</xdr:row>
          <xdr:rowOff>457200</xdr:rowOff>
        </xdr:to>
        <xdr:sp macro="" textlink="">
          <xdr:nvSpPr>
            <xdr:cNvPr id="107529" name="Check Box 9" hidden="1">
              <a:extLst>
                <a:ext uri="{63B3BB69-23CF-44E3-9099-C40C66FF867C}">
                  <a14:compatExt spid="_x0000_s107529"/>
                </a:ext>
                <a:ext uri="{FF2B5EF4-FFF2-40B4-BE49-F238E27FC236}">
                  <a16:creationId xmlns:a16="http://schemas.microsoft.com/office/drawing/2014/main" id="{00000000-0008-0000-0F00-000009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14</xdr:row>
          <xdr:rowOff>200025</xdr:rowOff>
        </xdr:from>
        <xdr:to>
          <xdr:col>5</xdr:col>
          <xdr:colOff>447675</xdr:colOff>
          <xdr:row>14</xdr:row>
          <xdr:rowOff>457200</xdr:rowOff>
        </xdr:to>
        <xdr:sp macro="" textlink="">
          <xdr:nvSpPr>
            <xdr:cNvPr id="107530" name="Check Box 10" hidden="1">
              <a:extLst>
                <a:ext uri="{63B3BB69-23CF-44E3-9099-C40C66FF867C}">
                  <a14:compatExt spid="_x0000_s107530"/>
                </a:ext>
                <a:ext uri="{FF2B5EF4-FFF2-40B4-BE49-F238E27FC236}">
                  <a16:creationId xmlns:a16="http://schemas.microsoft.com/office/drawing/2014/main" id="{00000000-0008-0000-0F00-00000A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15</xdr:row>
          <xdr:rowOff>200025</xdr:rowOff>
        </xdr:from>
        <xdr:to>
          <xdr:col>5</xdr:col>
          <xdr:colOff>447675</xdr:colOff>
          <xdr:row>15</xdr:row>
          <xdr:rowOff>457200</xdr:rowOff>
        </xdr:to>
        <xdr:sp macro="" textlink="">
          <xdr:nvSpPr>
            <xdr:cNvPr id="107531" name="Check Box 11" hidden="1">
              <a:extLst>
                <a:ext uri="{63B3BB69-23CF-44E3-9099-C40C66FF867C}">
                  <a14:compatExt spid="_x0000_s107531"/>
                </a:ext>
                <a:ext uri="{FF2B5EF4-FFF2-40B4-BE49-F238E27FC236}">
                  <a16:creationId xmlns:a16="http://schemas.microsoft.com/office/drawing/2014/main" id="{00000000-0008-0000-0F00-00000B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16</xdr:row>
          <xdr:rowOff>200025</xdr:rowOff>
        </xdr:from>
        <xdr:to>
          <xdr:col>5</xdr:col>
          <xdr:colOff>447675</xdr:colOff>
          <xdr:row>16</xdr:row>
          <xdr:rowOff>457200</xdr:rowOff>
        </xdr:to>
        <xdr:sp macro="" textlink="">
          <xdr:nvSpPr>
            <xdr:cNvPr id="107532" name="Check Box 12" hidden="1">
              <a:extLst>
                <a:ext uri="{63B3BB69-23CF-44E3-9099-C40C66FF867C}">
                  <a14:compatExt spid="_x0000_s107532"/>
                </a:ext>
                <a:ext uri="{FF2B5EF4-FFF2-40B4-BE49-F238E27FC236}">
                  <a16:creationId xmlns:a16="http://schemas.microsoft.com/office/drawing/2014/main" id="{00000000-0008-0000-0F00-00000C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17</xdr:row>
          <xdr:rowOff>200025</xdr:rowOff>
        </xdr:from>
        <xdr:to>
          <xdr:col>5</xdr:col>
          <xdr:colOff>447675</xdr:colOff>
          <xdr:row>17</xdr:row>
          <xdr:rowOff>457200</xdr:rowOff>
        </xdr:to>
        <xdr:sp macro="" textlink="">
          <xdr:nvSpPr>
            <xdr:cNvPr id="107533" name="Check Box 13" hidden="1">
              <a:extLst>
                <a:ext uri="{63B3BB69-23CF-44E3-9099-C40C66FF867C}">
                  <a14:compatExt spid="_x0000_s107533"/>
                </a:ext>
                <a:ext uri="{FF2B5EF4-FFF2-40B4-BE49-F238E27FC236}">
                  <a16:creationId xmlns:a16="http://schemas.microsoft.com/office/drawing/2014/main" id="{00000000-0008-0000-0F00-00000D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19</xdr:row>
          <xdr:rowOff>200025</xdr:rowOff>
        </xdr:from>
        <xdr:to>
          <xdr:col>5</xdr:col>
          <xdr:colOff>447675</xdr:colOff>
          <xdr:row>19</xdr:row>
          <xdr:rowOff>457200</xdr:rowOff>
        </xdr:to>
        <xdr:sp macro="" textlink="">
          <xdr:nvSpPr>
            <xdr:cNvPr id="107534" name="Check Box 14" hidden="1">
              <a:extLst>
                <a:ext uri="{63B3BB69-23CF-44E3-9099-C40C66FF867C}">
                  <a14:compatExt spid="_x0000_s107534"/>
                </a:ext>
                <a:ext uri="{FF2B5EF4-FFF2-40B4-BE49-F238E27FC236}">
                  <a16:creationId xmlns:a16="http://schemas.microsoft.com/office/drawing/2014/main" id="{00000000-0008-0000-0F00-00000E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20</xdr:row>
          <xdr:rowOff>200025</xdr:rowOff>
        </xdr:from>
        <xdr:to>
          <xdr:col>5</xdr:col>
          <xdr:colOff>447675</xdr:colOff>
          <xdr:row>20</xdr:row>
          <xdr:rowOff>457200</xdr:rowOff>
        </xdr:to>
        <xdr:sp macro="" textlink="">
          <xdr:nvSpPr>
            <xdr:cNvPr id="107535" name="Check Box 15" hidden="1">
              <a:extLst>
                <a:ext uri="{63B3BB69-23CF-44E3-9099-C40C66FF867C}">
                  <a14:compatExt spid="_x0000_s107535"/>
                </a:ext>
                <a:ext uri="{FF2B5EF4-FFF2-40B4-BE49-F238E27FC236}">
                  <a16:creationId xmlns:a16="http://schemas.microsoft.com/office/drawing/2014/main" id="{00000000-0008-0000-0F00-00000F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21</xdr:row>
          <xdr:rowOff>200025</xdr:rowOff>
        </xdr:from>
        <xdr:to>
          <xdr:col>5</xdr:col>
          <xdr:colOff>447675</xdr:colOff>
          <xdr:row>21</xdr:row>
          <xdr:rowOff>457200</xdr:rowOff>
        </xdr:to>
        <xdr:sp macro="" textlink="">
          <xdr:nvSpPr>
            <xdr:cNvPr id="107536" name="Check Box 16" hidden="1">
              <a:extLst>
                <a:ext uri="{63B3BB69-23CF-44E3-9099-C40C66FF867C}">
                  <a14:compatExt spid="_x0000_s107536"/>
                </a:ext>
                <a:ext uri="{FF2B5EF4-FFF2-40B4-BE49-F238E27FC236}">
                  <a16:creationId xmlns:a16="http://schemas.microsoft.com/office/drawing/2014/main" id="{00000000-0008-0000-0F00-000010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22</xdr:row>
          <xdr:rowOff>200025</xdr:rowOff>
        </xdr:from>
        <xdr:to>
          <xdr:col>5</xdr:col>
          <xdr:colOff>447675</xdr:colOff>
          <xdr:row>22</xdr:row>
          <xdr:rowOff>457200</xdr:rowOff>
        </xdr:to>
        <xdr:sp macro="" textlink="">
          <xdr:nvSpPr>
            <xdr:cNvPr id="107537" name="Check Box 17" hidden="1">
              <a:extLst>
                <a:ext uri="{63B3BB69-23CF-44E3-9099-C40C66FF867C}">
                  <a14:compatExt spid="_x0000_s107537"/>
                </a:ext>
                <a:ext uri="{FF2B5EF4-FFF2-40B4-BE49-F238E27FC236}">
                  <a16:creationId xmlns:a16="http://schemas.microsoft.com/office/drawing/2014/main" id="{00000000-0008-0000-0F00-000011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23</xdr:row>
          <xdr:rowOff>200025</xdr:rowOff>
        </xdr:from>
        <xdr:to>
          <xdr:col>5</xdr:col>
          <xdr:colOff>447675</xdr:colOff>
          <xdr:row>23</xdr:row>
          <xdr:rowOff>457200</xdr:rowOff>
        </xdr:to>
        <xdr:sp macro="" textlink="">
          <xdr:nvSpPr>
            <xdr:cNvPr id="107538" name="Check Box 18" hidden="1">
              <a:extLst>
                <a:ext uri="{63B3BB69-23CF-44E3-9099-C40C66FF867C}">
                  <a14:compatExt spid="_x0000_s107538"/>
                </a:ext>
                <a:ext uri="{FF2B5EF4-FFF2-40B4-BE49-F238E27FC236}">
                  <a16:creationId xmlns:a16="http://schemas.microsoft.com/office/drawing/2014/main" id="{00000000-0008-0000-0F00-000012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25</xdr:row>
          <xdr:rowOff>200025</xdr:rowOff>
        </xdr:from>
        <xdr:to>
          <xdr:col>5</xdr:col>
          <xdr:colOff>447675</xdr:colOff>
          <xdr:row>25</xdr:row>
          <xdr:rowOff>457200</xdr:rowOff>
        </xdr:to>
        <xdr:sp macro="" textlink="">
          <xdr:nvSpPr>
            <xdr:cNvPr id="107539" name="Check Box 19" hidden="1">
              <a:extLst>
                <a:ext uri="{63B3BB69-23CF-44E3-9099-C40C66FF867C}">
                  <a14:compatExt spid="_x0000_s107539"/>
                </a:ext>
                <a:ext uri="{FF2B5EF4-FFF2-40B4-BE49-F238E27FC236}">
                  <a16:creationId xmlns:a16="http://schemas.microsoft.com/office/drawing/2014/main" id="{00000000-0008-0000-0F00-000013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26</xdr:row>
          <xdr:rowOff>200025</xdr:rowOff>
        </xdr:from>
        <xdr:to>
          <xdr:col>5</xdr:col>
          <xdr:colOff>447675</xdr:colOff>
          <xdr:row>26</xdr:row>
          <xdr:rowOff>457200</xdr:rowOff>
        </xdr:to>
        <xdr:sp macro="" textlink="">
          <xdr:nvSpPr>
            <xdr:cNvPr id="107540" name="Check Box 20" hidden="1">
              <a:extLst>
                <a:ext uri="{63B3BB69-23CF-44E3-9099-C40C66FF867C}">
                  <a14:compatExt spid="_x0000_s107540"/>
                </a:ext>
                <a:ext uri="{FF2B5EF4-FFF2-40B4-BE49-F238E27FC236}">
                  <a16:creationId xmlns:a16="http://schemas.microsoft.com/office/drawing/2014/main" id="{00000000-0008-0000-0F00-000014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27</xdr:row>
          <xdr:rowOff>200025</xdr:rowOff>
        </xdr:from>
        <xdr:to>
          <xdr:col>5</xdr:col>
          <xdr:colOff>447675</xdr:colOff>
          <xdr:row>27</xdr:row>
          <xdr:rowOff>457200</xdr:rowOff>
        </xdr:to>
        <xdr:sp macro="" textlink="">
          <xdr:nvSpPr>
            <xdr:cNvPr id="107541" name="Check Box 21" hidden="1">
              <a:extLst>
                <a:ext uri="{63B3BB69-23CF-44E3-9099-C40C66FF867C}">
                  <a14:compatExt spid="_x0000_s107541"/>
                </a:ext>
                <a:ext uri="{FF2B5EF4-FFF2-40B4-BE49-F238E27FC236}">
                  <a16:creationId xmlns:a16="http://schemas.microsoft.com/office/drawing/2014/main" id="{00000000-0008-0000-0F00-000015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28</xdr:row>
          <xdr:rowOff>200025</xdr:rowOff>
        </xdr:from>
        <xdr:to>
          <xdr:col>5</xdr:col>
          <xdr:colOff>447675</xdr:colOff>
          <xdr:row>28</xdr:row>
          <xdr:rowOff>457200</xdr:rowOff>
        </xdr:to>
        <xdr:sp macro="" textlink="">
          <xdr:nvSpPr>
            <xdr:cNvPr id="107542" name="Check Box 22" hidden="1">
              <a:extLst>
                <a:ext uri="{63B3BB69-23CF-44E3-9099-C40C66FF867C}">
                  <a14:compatExt spid="_x0000_s107542"/>
                </a:ext>
                <a:ext uri="{FF2B5EF4-FFF2-40B4-BE49-F238E27FC236}">
                  <a16:creationId xmlns:a16="http://schemas.microsoft.com/office/drawing/2014/main" id="{00000000-0008-0000-0F00-000016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29</xdr:row>
          <xdr:rowOff>200025</xdr:rowOff>
        </xdr:from>
        <xdr:to>
          <xdr:col>5</xdr:col>
          <xdr:colOff>447675</xdr:colOff>
          <xdr:row>29</xdr:row>
          <xdr:rowOff>457200</xdr:rowOff>
        </xdr:to>
        <xdr:sp macro="" textlink="">
          <xdr:nvSpPr>
            <xdr:cNvPr id="107543" name="Check Box 23" hidden="1">
              <a:extLst>
                <a:ext uri="{63B3BB69-23CF-44E3-9099-C40C66FF867C}">
                  <a14:compatExt spid="_x0000_s107543"/>
                </a:ext>
                <a:ext uri="{FF2B5EF4-FFF2-40B4-BE49-F238E27FC236}">
                  <a16:creationId xmlns:a16="http://schemas.microsoft.com/office/drawing/2014/main" id="{00000000-0008-0000-0F00-000017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31</xdr:row>
          <xdr:rowOff>200025</xdr:rowOff>
        </xdr:from>
        <xdr:to>
          <xdr:col>5</xdr:col>
          <xdr:colOff>447675</xdr:colOff>
          <xdr:row>31</xdr:row>
          <xdr:rowOff>457200</xdr:rowOff>
        </xdr:to>
        <xdr:sp macro="" textlink="">
          <xdr:nvSpPr>
            <xdr:cNvPr id="107544" name="Check Box 24" hidden="1">
              <a:extLst>
                <a:ext uri="{63B3BB69-23CF-44E3-9099-C40C66FF867C}">
                  <a14:compatExt spid="_x0000_s107544"/>
                </a:ext>
                <a:ext uri="{FF2B5EF4-FFF2-40B4-BE49-F238E27FC236}">
                  <a16:creationId xmlns:a16="http://schemas.microsoft.com/office/drawing/2014/main" id="{00000000-0008-0000-0F00-000018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32</xdr:row>
          <xdr:rowOff>200025</xdr:rowOff>
        </xdr:from>
        <xdr:to>
          <xdr:col>5</xdr:col>
          <xdr:colOff>447675</xdr:colOff>
          <xdr:row>32</xdr:row>
          <xdr:rowOff>457200</xdr:rowOff>
        </xdr:to>
        <xdr:sp macro="" textlink="">
          <xdr:nvSpPr>
            <xdr:cNvPr id="107545" name="Check Box 25" hidden="1">
              <a:extLst>
                <a:ext uri="{63B3BB69-23CF-44E3-9099-C40C66FF867C}">
                  <a14:compatExt spid="_x0000_s107545"/>
                </a:ext>
                <a:ext uri="{FF2B5EF4-FFF2-40B4-BE49-F238E27FC236}">
                  <a16:creationId xmlns:a16="http://schemas.microsoft.com/office/drawing/2014/main" id="{00000000-0008-0000-0F00-000019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33</xdr:row>
          <xdr:rowOff>200025</xdr:rowOff>
        </xdr:from>
        <xdr:to>
          <xdr:col>5</xdr:col>
          <xdr:colOff>447675</xdr:colOff>
          <xdr:row>33</xdr:row>
          <xdr:rowOff>457200</xdr:rowOff>
        </xdr:to>
        <xdr:sp macro="" textlink="">
          <xdr:nvSpPr>
            <xdr:cNvPr id="107546" name="Check Box 26" hidden="1">
              <a:extLst>
                <a:ext uri="{63B3BB69-23CF-44E3-9099-C40C66FF867C}">
                  <a14:compatExt spid="_x0000_s107546"/>
                </a:ext>
                <a:ext uri="{FF2B5EF4-FFF2-40B4-BE49-F238E27FC236}">
                  <a16:creationId xmlns:a16="http://schemas.microsoft.com/office/drawing/2014/main" id="{00000000-0008-0000-0F00-00001A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34</xdr:row>
          <xdr:rowOff>200025</xdr:rowOff>
        </xdr:from>
        <xdr:to>
          <xdr:col>5</xdr:col>
          <xdr:colOff>447675</xdr:colOff>
          <xdr:row>34</xdr:row>
          <xdr:rowOff>457200</xdr:rowOff>
        </xdr:to>
        <xdr:sp macro="" textlink="">
          <xdr:nvSpPr>
            <xdr:cNvPr id="107547" name="Check Box 27" hidden="1">
              <a:extLst>
                <a:ext uri="{63B3BB69-23CF-44E3-9099-C40C66FF867C}">
                  <a14:compatExt spid="_x0000_s107547"/>
                </a:ext>
                <a:ext uri="{FF2B5EF4-FFF2-40B4-BE49-F238E27FC236}">
                  <a16:creationId xmlns:a16="http://schemas.microsoft.com/office/drawing/2014/main" id="{00000000-0008-0000-0F00-00001B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35</xdr:row>
          <xdr:rowOff>200025</xdr:rowOff>
        </xdr:from>
        <xdr:to>
          <xdr:col>5</xdr:col>
          <xdr:colOff>447675</xdr:colOff>
          <xdr:row>35</xdr:row>
          <xdr:rowOff>457200</xdr:rowOff>
        </xdr:to>
        <xdr:sp macro="" textlink="">
          <xdr:nvSpPr>
            <xdr:cNvPr id="107548" name="Check Box 28" hidden="1">
              <a:extLst>
                <a:ext uri="{63B3BB69-23CF-44E3-9099-C40C66FF867C}">
                  <a14:compatExt spid="_x0000_s107548"/>
                </a:ext>
                <a:ext uri="{FF2B5EF4-FFF2-40B4-BE49-F238E27FC236}">
                  <a16:creationId xmlns:a16="http://schemas.microsoft.com/office/drawing/2014/main" id="{00000000-0008-0000-0F00-00001C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37</xdr:row>
          <xdr:rowOff>200025</xdr:rowOff>
        </xdr:from>
        <xdr:to>
          <xdr:col>5</xdr:col>
          <xdr:colOff>447675</xdr:colOff>
          <xdr:row>37</xdr:row>
          <xdr:rowOff>457200</xdr:rowOff>
        </xdr:to>
        <xdr:sp macro="" textlink="">
          <xdr:nvSpPr>
            <xdr:cNvPr id="107549" name="Check Box 29" hidden="1">
              <a:extLst>
                <a:ext uri="{63B3BB69-23CF-44E3-9099-C40C66FF867C}">
                  <a14:compatExt spid="_x0000_s107549"/>
                </a:ext>
                <a:ext uri="{FF2B5EF4-FFF2-40B4-BE49-F238E27FC236}">
                  <a16:creationId xmlns:a16="http://schemas.microsoft.com/office/drawing/2014/main" id="{00000000-0008-0000-0F00-00001D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38</xdr:row>
          <xdr:rowOff>200025</xdr:rowOff>
        </xdr:from>
        <xdr:to>
          <xdr:col>5</xdr:col>
          <xdr:colOff>447675</xdr:colOff>
          <xdr:row>38</xdr:row>
          <xdr:rowOff>457200</xdr:rowOff>
        </xdr:to>
        <xdr:sp macro="" textlink="">
          <xdr:nvSpPr>
            <xdr:cNvPr id="107550" name="Check Box 30" hidden="1">
              <a:extLst>
                <a:ext uri="{63B3BB69-23CF-44E3-9099-C40C66FF867C}">
                  <a14:compatExt spid="_x0000_s107550"/>
                </a:ext>
                <a:ext uri="{FF2B5EF4-FFF2-40B4-BE49-F238E27FC236}">
                  <a16:creationId xmlns:a16="http://schemas.microsoft.com/office/drawing/2014/main" id="{00000000-0008-0000-0F00-00001E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39</xdr:row>
          <xdr:rowOff>200025</xdr:rowOff>
        </xdr:from>
        <xdr:to>
          <xdr:col>5</xdr:col>
          <xdr:colOff>447675</xdr:colOff>
          <xdr:row>39</xdr:row>
          <xdr:rowOff>457200</xdr:rowOff>
        </xdr:to>
        <xdr:sp macro="" textlink="">
          <xdr:nvSpPr>
            <xdr:cNvPr id="107551" name="Check Box 31" hidden="1">
              <a:extLst>
                <a:ext uri="{63B3BB69-23CF-44E3-9099-C40C66FF867C}">
                  <a14:compatExt spid="_x0000_s107551"/>
                </a:ext>
                <a:ext uri="{FF2B5EF4-FFF2-40B4-BE49-F238E27FC236}">
                  <a16:creationId xmlns:a16="http://schemas.microsoft.com/office/drawing/2014/main" id="{00000000-0008-0000-0F00-00001F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40</xdr:row>
          <xdr:rowOff>200025</xdr:rowOff>
        </xdr:from>
        <xdr:to>
          <xdr:col>5</xdr:col>
          <xdr:colOff>447675</xdr:colOff>
          <xdr:row>40</xdr:row>
          <xdr:rowOff>457200</xdr:rowOff>
        </xdr:to>
        <xdr:sp macro="" textlink="">
          <xdr:nvSpPr>
            <xdr:cNvPr id="107552" name="Check Box 32" hidden="1">
              <a:extLst>
                <a:ext uri="{63B3BB69-23CF-44E3-9099-C40C66FF867C}">
                  <a14:compatExt spid="_x0000_s107552"/>
                </a:ext>
                <a:ext uri="{FF2B5EF4-FFF2-40B4-BE49-F238E27FC236}">
                  <a16:creationId xmlns:a16="http://schemas.microsoft.com/office/drawing/2014/main" id="{00000000-0008-0000-0F00-000020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42</xdr:row>
          <xdr:rowOff>200025</xdr:rowOff>
        </xdr:from>
        <xdr:to>
          <xdr:col>5</xdr:col>
          <xdr:colOff>447675</xdr:colOff>
          <xdr:row>42</xdr:row>
          <xdr:rowOff>457200</xdr:rowOff>
        </xdr:to>
        <xdr:sp macro="" textlink="">
          <xdr:nvSpPr>
            <xdr:cNvPr id="107553" name="Check Box 33" hidden="1">
              <a:extLst>
                <a:ext uri="{63B3BB69-23CF-44E3-9099-C40C66FF867C}">
                  <a14:compatExt spid="_x0000_s107553"/>
                </a:ext>
                <a:ext uri="{FF2B5EF4-FFF2-40B4-BE49-F238E27FC236}">
                  <a16:creationId xmlns:a16="http://schemas.microsoft.com/office/drawing/2014/main" id="{00000000-0008-0000-0F00-000021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43</xdr:row>
          <xdr:rowOff>200025</xdr:rowOff>
        </xdr:from>
        <xdr:to>
          <xdr:col>5</xdr:col>
          <xdr:colOff>447675</xdr:colOff>
          <xdr:row>43</xdr:row>
          <xdr:rowOff>457200</xdr:rowOff>
        </xdr:to>
        <xdr:sp macro="" textlink="">
          <xdr:nvSpPr>
            <xdr:cNvPr id="107554" name="Check Box 34" hidden="1">
              <a:extLst>
                <a:ext uri="{63B3BB69-23CF-44E3-9099-C40C66FF867C}">
                  <a14:compatExt spid="_x0000_s107554"/>
                </a:ext>
                <a:ext uri="{FF2B5EF4-FFF2-40B4-BE49-F238E27FC236}">
                  <a16:creationId xmlns:a16="http://schemas.microsoft.com/office/drawing/2014/main" id="{00000000-0008-0000-0F00-000022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44</xdr:row>
          <xdr:rowOff>200025</xdr:rowOff>
        </xdr:from>
        <xdr:to>
          <xdr:col>5</xdr:col>
          <xdr:colOff>447675</xdr:colOff>
          <xdr:row>44</xdr:row>
          <xdr:rowOff>457200</xdr:rowOff>
        </xdr:to>
        <xdr:sp macro="" textlink="">
          <xdr:nvSpPr>
            <xdr:cNvPr id="107555" name="Check Box 35" hidden="1">
              <a:extLst>
                <a:ext uri="{63B3BB69-23CF-44E3-9099-C40C66FF867C}">
                  <a14:compatExt spid="_x0000_s107555"/>
                </a:ext>
                <a:ext uri="{FF2B5EF4-FFF2-40B4-BE49-F238E27FC236}">
                  <a16:creationId xmlns:a16="http://schemas.microsoft.com/office/drawing/2014/main" id="{00000000-0008-0000-0F00-000023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45</xdr:row>
          <xdr:rowOff>200025</xdr:rowOff>
        </xdr:from>
        <xdr:to>
          <xdr:col>5</xdr:col>
          <xdr:colOff>447675</xdr:colOff>
          <xdr:row>45</xdr:row>
          <xdr:rowOff>457200</xdr:rowOff>
        </xdr:to>
        <xdr:sp macro="" textlink="">
          <xdr:nvSpPr>
            <xdr:cNvPr id="107556" name="Check Box 36" hidden="1">
              <a:extLst>
                <a:ext uri="{63B3BB69-23CF-44E3-9099-C40C66FF867C}">
                  <a14:compatExt spid="_x0000_s107556"/>
                </a:ext>
                <a:ext uri="{FF2B5EF4-FFF2-40B4-BE49-F238E27FC236}">
                  <a16:creationId xmlns:a16="http://schemas.microsoft.com/office/drawing/2014/main" id="{00000000-0008-0000-0F00-000024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46</xdr:row>
          <xdr:rowOff>200025</xdr:rowOff>
        </xdr:from>
        <xdr:to>
          <xdr:col>5</xdr:col>
          <xdr:colOff>447675</xdr:colOff>
          <xdr:row>46</xdr:row>
          <xdr:rowOff>457200</xdr:rowOff>
        </xdr:to>
        <xdr:sp macro="" textlink="">
          <xdr:nvSpPr>
            <xdr:cNvPr id="107557" name="Check Box 37" hidden="1">
              <a:extLst>
                <a:ext uri="{63B3BB69-23CF-44E3-9099-C40C66FF867C}">
                  <a14:compatExt spid="_x0000_s107557"/>
                </a:ext>
                <a:ext uri="{FF2B5EF4-FFF2-40B4-BE49-F238E27FC236}">
                  <a16:creationId xmlns:a16="http://schemas.microsoft.com/office/drawing/2014/main" id="{00000000-0008-0000-0F00-000025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3933825</xdr:colOff>
          <xdr:row>51</xdr:row>
          <xdr:rowOff>76200</xdr:rowOff>
        </xdr:from>
        <xdr:to>
          <xdr:col>3</xdr:col>
          <xdr:colOff>371475</xdr:colOff>
          <xdr:row>53</xdr:row>
          <xdr:rowOff>161925</xdr:rowOff>
        </xdr:to>
        <xdr:sp macro="" textlink="">
          <xdr:nvSpPr>
            <xdr:cNvPr id="107558" name="Button 38" hidden="1">
              <a:extLst>
                <a:ext uri="{63B3BB69-23CF-44E3-9099-C40C66FF867C}">
                  <a14:compatExt spid="_x0000_s107558"/>
                </a:ext>
                <a:ext uri="{FF2B5EF4-FFF2-40B4-BE49-F238E27FC236}">
                  <a16:creationId xmlns:a16="http://schemas.microsoft.com/office/drawing/2014/main" id="{00000000-0008-0000-0F00-000026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1143000</xdr:colOff>
          <xdr:row>51</xdr:row>
          <xdr:rowOff>85725</xdr:rowOff>
        </xdr:from>
        <xdr:to>
          <xdr:col>2</xdr:col>
          <xdr:colOff>2324100</xdr:colOff>
          <xdr:row>53</xdr:row>
          <xdr:rowOff>161925</xdr:rowOff>
        </xdr:to>
        <xdr:sp macro="" textlink="">
          <xdr:nvSpPr>
            <xdr:cNvPr id="107559" name="Button 39" hidden="1">
              <a:extLst>
                <a:ext uri="{63B3BB69-23CF-44E3-9099-C40C66FF867C}">
                  <a14:compatExt spid="_x0000_s107559"/>
                </a:ext>
                <a:ext uri="{FF2B5EF4-FFF2-40B4-BE49-F238E27FC236}">
                  <a16:creationId xmlns:a16="http://schemas.microsoft.com/office/drawing/2014/main" id="{00000000-0008-0000-0F00-000027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48</xdr:row>
          <xdr:rowOff>200025</xdr:rowOff>
        </xdr:from>
        <xdr:to>
          <xdr:col>5</xdr:col>
          <xdr:colOff>447675</xdr:colOff>
          <xdr:row>48</xdr:row>
          <xdr:rowOff>457200</xdr:rowOff>
        </xdr:to>
        <xdr:sp macro="" textlink="">
          <xdr:nvSpPr>
            <xdr:cNvPr id="107560" name="Check Box 40" hidden="1">
              <a:extLst>
                <a:ext uri="{63B3BB69-23CF-44E3-9099-C40C66FF867C}">
                  <a14:compatExt spid="_x0000_s107560"/>
                </a:ext>
                <a:ext uri="{FF2B5EF4-FFF2-40B4-BE49-F238E27FC236}">
                  <a16:creationId xmlns:a16="http://schemas.microsoft.com/office/drawing/2014/main" id="{00000000-0008-0000-0F00-000028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4</xdr:row>
          <xdr:rowOff>200025</xdr:rowOff>
        </xdr:from>
        <xdr:to>
          <xdr:col>5</xdr:col>
          <xdr:colOff>447675</xdr:colOff>
          <xdr:row>4</xdr:row>
          <xdr:rowOff>457200</xdr:rowOff>
        </xdr:to>
        <xdr:sp macro="" textlink="">
          <xdr:nvSpPr>
            <xdr:cNvPr id="138241" name="Check Box 1" hidden="1">
              <a:extLst>
                <a:ext uri="{63B3BB69-23CF-44E3-9099-C40C66FF867C}">
                  <a14:compatExt spid="_x0000_s138241"/>
                </a:ext>
                <a:ext uri="{FF2B5EF4-FFF2-40B4-BE49-F238E27FC236}">
                  <a16:creationId xmlns:a16="http://schemas.microsoft.com/office/drawing/2014/main" id="{00000000-0008-0000-1000-000001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5</xdr:row>
          <xdr:rowOff>200025</xdr:rowOff>
        </xdr:from>
        <xdr:to>
          <xdr:col>5</xdr:col>
          <xdr:colOff>447675</xdr:colOff>
          <xdr:row>5</xdr:row>
          <xdr:rowOff>457200</xdr:rowOff>
        </xdr:to>
        <xdr:sp macro="" textlink="">
          <xdr:nvSpPr>
            <xdr:cNvPr id="138242" name="Check Box 2" hidden="1">
              <a:extLst>
                <a:ext uri="{63B3BB69-23CF-44E3-9099-C40C66FF867C}">
                  <a14:compatExt spid="_x0000_s138242"/>
                </a:ext>
                <a:ext uri="{FF2B5EF4-FFF2-40B4-BE49-F238E27FC236}">
                  <a16:creationId xmlns:a16="http://schemas.microsoft.com/office/drawing/2014/main" id="{00000000-0008-0000-1000-000002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6</xdr:row>
          <xdr:rowOff>200025</xdr:rowOff>
        </xdr:from>
        <xdr:to>
          <xdr:col>5</xdr:col>
          <xdr:colOff>447675</xdr:colOff>
          <xdr:row>6</xdr:row>
          <xdr:rowOff>457200</xdr:rowOff>
        </xdr:to>
        <xdr:sp macro="" textlink="">
          <xdr:nvSpPr>
            <xdr:cNvPr id="138243" name="Check Box 3" hidden="1">
              <a:extLst>
                <a:ext uri="{63B3BB69-23CF-44E3-9099-C40C66FF867C}">
                  <a14:compatExt spid="_x0000_s138243"/>
                </a:ext>
                <a:ext uri="{FF2B5EF4-FFF2-40B4-BE49-F238E27FC236}">
                  <a16:creationId xmlns:a16="http://schemas.microsoft.com/office/drawing/2014/main" id="{00000000-0008-0000-1000-000003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7</xdr:row>
          <xdr:rowOff>200025</xdr:rowOff>
        </xdr:from>
        <xdr:to>
          <xdr:col>5</xdr:col>
          <xdr:colOff>447675</xdr:colOff>
          <xdr:row>7</xdr:row>
          <xdr:rowOff>457200</xdr:rowOff>
        </xdr:to>
        <xdr:sp macro="" textlink="">
          <xdr:nvSpPr>
            <xdr:cNvPr id="138244" name="Check Box 4" hidden="1">
              <a:extLst>
                <a:ext uri="{63B3BB69-23CF-44E3-9099-C40C66FF867C}">
                  <a14:compatExt spid="_x0000_s138244"/>
                </a:ext>
                <a:ext uri="{FF2B5EF4-FFF2-40B4-BE49-F238E27FC236}">
                  <a16:creationId xmlns:a16="http://schemas.microsoft.com/office/drawing/2014/main" id="{00000000-0008-0000-1000-000004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xdr:row>
          <xdr:rowOff>200025</xdr:rowOff>
        </xdr:from>
        <xdr:to>
          <xdr:col>5</xdr:col>
          <xdr:colOff>447675</xdr:colOff>
          <xdr:row>8</xdr:row>
          <xdr:rowOff>457200</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1000-000005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xdr:row>
          <xdr:rowOff>200025</xdr:rowOff>
        </xdr:from>
        <xdr:to>
          <xdr:col>5</xdr:col>
          <xdr:colOff>447675</xdr:colOff>
          <xdr:row>9</xdr:row>
          <xdr:rowOff>457200</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1000-000006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10</xdr:row>
          <xdr:rowOff>200025</xdr:rowOff>
        </xdr:from>
        <xdr:to>
          <xdr:col>5</xdr:col>
          <xdr:colOff>447675</xdr:colOff>
          <xdr:row>10</xdr:row>
          <xdr:rowOff>457200</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1000-000007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12</xdr:row>
          <xdr:rowOff>200025</xdr:rowOff>
        </xdr:from>
        <xdr:to>
          <xdr:col>5</xdr:col>
          <xdr:colOff>447675</xdr:colOff>
          <xdr:row>12</xdr:row>
          <xdr:rowOff>457200</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1000-000008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13</xdr:row>
          <xdr:rowOff>200025</xdr:rowOff>
        </xdr:from>
        <xdr:to>
          <xdr:col>5</xdr:col>
          <xdr:colOff>447675</xdr:colOff>
          <xdr:row>13</xdr:row>
          <xdr:rowOff>457200</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1000-000009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14</xdr:row>
          <xdr:rowOff>200025</xdr:rowOff>
        </xdr:from>
        <xdr:to>
          <xdr:col>5</xdr:col>
          <xdr:colOff>447675</xdr:colOff>
          <xdr:row>14</xdr:row>
          <xdr:rowOff>457200</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1000-00000A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15</xdr:row>
          <xdr:rowOff>200025</xdr:rowOff>
        </xdr:from>
        <xdr:to>
          <xdr:col>5</xdr:col>
          <xdr:colOff>447675</xdr:colOff>
          <xdr:row>15</xdr:row>
          <xdr:rowOff>457200</xdr:rowOff>
        </xdr:to>
        <xdr:sp macro="" textlink="">
          <xdr:nvSpPr>
            <xdr:cNvPr id="138251" name="Check Box 11" hidden="1">
              <a:extLst>
                <a:ext uri="{63B3BB69-23CF-44E3-9099-C40C66FF867C}">
                  <a14:compatExt spid="_x0000_s138251"/>
                </a:ext>
                <a:ext uri="{FF2B5EF4-FFF2-40B4-BE49-F238E27FC236}">
                  <a16:creationId xmlns:a16="http://schemas.microsoft.com/office/drawing/2014/main" id="{00000000-0008-0000-1000-00000B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16</xdr:row>
          <xdr:rowOff>200025</xdr:rowOff>
        </xdr:from>
        <xdr:to>
          <xdr:col>5</xdr:col>
          <xdr:colOff>447675</xdr:colOff>
          <xdr:row>16</xdr:row>
          <xdr:rowOff>457200</xdr:rowOff>
        </xdr:to>
        <xdr:sp macro="" textlink="">
          <xdr:nvSpPr>
            <xdr:cNvPr id="138252" name="Check Box 12" hidden="1">
              <a:extLst>
                <a:ext uri="{63B3BB69-23CF-44E3-9099-C40C66FF867C}">
                  <a14:compatExt spid="_x0000_s138252"/>
                </a:ext>
                <a:ext uri="{FF2B5EF4-FFF2-40B4-BE49-F238E27FC236}">
                  <a16:creationId xmlns:a16="http://schemas.microsoft.com/office/drawing/2014/main" id="{00000000-0008-0000-1000-00000C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17</xdr:row>
          <xdr:rowOff>200025</xdr:rowOff>
        </xdr:from>
        <xdr:to>
          <xdr:col>5</xdr:col>
          <xdr:colOff>447675</xdr:colOff>
          <xdr:row>17</xdr:row>
          <xdr:rowOff>457200</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1000-00000D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19</xdr:row>
          <xdr:rowOff>200025</xdr:rowOff>
        </xdr:from>
        <xdr:to>
          <xdr:col>5</xdr:col>
          <xdr:colOff>447675</xdr:colOff>
          <xdr:row>19</xdr:row>
          <xdr:rowOff>457200</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1000-00000E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20</xdr:row>
          <xdr:rowOff>200025</xdr:rowOff>
        </xdr:from>
        <xdr:to>
          <xdr:col>5</xdr:col>
          <xdr:colOff>447675</xdr:colOff>
          <xdr:row>20</xdr:row>
          <xdr:rowOff>457200</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1000-00000F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21</xdr:row>
          <xdr:rowOff>200025</xdr:rowOff>
        </xdr:from>
        <xdr:to>
          <xdr:col>5</xdr:col>
          <xdr:colOff>447675</xdr:colOff>
          <xdr:row>21</xdr:row>
          <xdr:rowOff>457200</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1000-000010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22</xdr:row>
          <xdr:rowOff>200025</xdr:rowOff>
        </xdr:from>
        <xdr:to>
          <xdr:col>5</xdr:col>
          <xdr:colOff>447675</xdr:colOff>
          <xdr:row>22</xdr:row>
          <xdr:rowOff>457200</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1000-000011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23</xdr:row>
          <xdr:rowOff>200025</xdr:rowOff>
        </xdr:from>
        <xdr:to>
          <xdr:col>5</xdr:col>
          <xdr:colOff>447675</xdr:colOff>
          <xdr:row>23</xdr:row>
          <xdr:rowOff>457200</xdr:rowOff>
        </xdr:to>
        <xdr:sp macro="" textlink="">
          <xdr:nvSpPr>
            <xdr:cNvPr id="138258" name="Check Box 18" hidden="1">
              <a:extLst>
                <a:ext uri="{63B3BB69-23CF-44E3-9099-C40C66FF867C}">
                  <a14:compatExt spid="_x0000_s138258"/>
                </a:ext>
                <a:ext uri="{FF2B5EF4-FFF2-40B4-BE49-F238E27FC236}">
                  <a16:creationId xmlns:a16="http://schemas.microsoft.com/office/drawing/2014/main" id="{00000000-0008-0000-1000-000012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25</xdr:row>
          <xdr:rowOff>200025</xdr:rowOff>
        </xdr:from>
        <xdr:to>
          <xdr:col>5</xdr:col>
          <xdr:colOff>447675</xdr:colOff>
          <xdr:row>25</xdr:row>
          <xdr:rowOff>457200</xdr:rowOff>
        </xdr:to>
        <xdr:sp macro="" textlink="">
          <xdr:nvSpPr>
            <xdr:cNvPr id="138259" name="Check Box 19" hidden="1">
              <a:extLst>
                <a:ext uri="{63B3BB69-23CF-44E3-9099-C40C66FF867C}">
                  <a14:compatExt spid="_x0000_s138259"/>
                </a:ext>
                <a:ext uri="{FF2B5EF4-FFF2-40B4-BE49-F238E27FC236}">
                  <a16:creationId xmlns:a16="http://schemas.microsoft.com/office/drawing/2014/main" id="{00000000-0008-0000-1000-000013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26</xdr:row>
          <xdr:rowOff>200025</xdr:rowOff>
        </xdr:from>
        <xdr:to>
          <xdr:col>5</xdr:col>
          <xdr:colOff>447675</xdr:colOff>
          <xdr:row>26</xdr:row>
          <xdr:rowOff>457200</xdr:rowOff>
        </xdr:to>
        <xdr:sp macro="" textlink="">
          <xdr:nvSpPr>
            <xdr:cNvPr id="138260" name="Check Box 20" hidden="1">
              <a:extLst>
                <a:ext uri="{63B3BB69-23CF-44E3-9099-C40C66FF867C}">
                  <a14:compatExt spid="_x0000_s138260"/>
                </a:ext>
                <a:ext uri="{FF2B5EF4-FFF2-40B4-BE49-F238E27FC236}">
                  <a16:creationId xmlns:a16="http://schemas.microsoft.com/office/drawing/2014/main" id="{00000000-0008-0000-1000-000014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27</xdr:row>
          <xdr:rowOff>200025</xdr:rowOff>
        </xdr:from>
        <xdr:to>
          <xdr:col>5</xdr:col>
          <xdr:colOff>447675</xdr:colOff>
          <xdr:row>27</xdr:row>
          <xdr:rowOff>457200</xdr:rowOff>
        </xdr:to>
        <xdr:sp macro="" textlink="">
          <xdr:nvSpPr>
            <xdr:cNvPr id="138261" name="Check Box 21" hidden="1">
              <a:extLst>
                <a:ext uri="{63B3BB69-23CF-44E3-9099-C40C66FF867C}">
                  <a14:compatExt spid="_x0000_s138261"/>
                </a:ext>
                <a:ext uri="{FF2B5EF4-FFF2-40B4-BE49-F238E27FC236}">
                  <a16:creationId xmlns:a16="http://schemas.microsoft.com/office/drawing/2014/main" id="{00000000-0008-0000-1000-000015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28</xdr:row>
          <xdr:rowOff>200025</xdr:rowOff>
        </xdr:from>
        <xdr:to>
          <xdr:col>5</xdr:col>
          <xdr:colOff>447675</xdr:colOff>
          <xdr:row>28</xdr:row>
          <xdr:rowOff>457200</xdr:rowOff>
        </xdr:to>
        <xdr:sp macro="" textlink="">
          <xdr:nvSpPr>
            <xdr:cNvPr id="138262" name="Check Box 22" hidden="1">
              <a:extLst>
                <a:ext uri="{63B3BB69-23CF-44E3-9099-C40C66FF867C}">
                  <a14:compatExt spid="_x0000_s138262"/>
                </a:ext>
                <a:ext uri="{FF2B5EF4-FFF2-40B4-BE49-F238E27FC236}">
                  <a16:creationId xmlns:a16="http://schemas.microsoft.com/office/drawing/2014/main" id="{00000000-0008-0000-1000-000016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29</xdr:row>
          <xdr:rowOff>200025</xdr:rowOff>
        </xdr:from>
        <xdr:to>
          <xdr:col>5</xdr:col>
          <xdr:colOff>447675</xdr:colOff>
          <xdr:row>29</xdr:row>
          <xdr:rowOff>457200</xdr:rowOff>
        </xdr:to>
        <xdr:sp macro="" textlink="">
          <xdr:nvSpPr>
            <xdr:cNvPr id="138263" name="Check Box 23" hidden="1">
              <a:extLst>
                <a:ext uri="{63B3BB69-23CF-44E3-9099-C40C66FF867C}">
                  <a14:compatExt spid="_x0000_s138263"/>
                </a:ext>
                <a:ext uri="{FF2B5EF4-FFF2-40B4-BE49-F238E27FC236}">
                  <a16:creationId xmlns:a16="http://schemas.microsoft.com/office/drawing/2014/main" id="{00000000-0008-0000-1000-000017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31</xdr:row>
          <xdr:rowOff>200025</xdr:rowOff>
        </xdr:from>
        <xdr:to>
          <xdr:col>5</xdr:col>
          <xdr:colOff>447675</xdr:colOff>
          <xdr:row>31</xdr:row>
          <xdr:rowOff>457200</xdr:rowOff>
        </xdr:to>
        <xdr:sp macro="" textlink="">
          <xdr:nvSpPr>
            <xdr:cNvPr id="138264" name="Check Box 24" hidden="1">
              <a:extLst>
                <a:ext uri="{63B3BB69-23CF-44E3-9099-C40C66FF867C}">
                  <a14:compatExt spid="_x0000_s138264"/>
                </a:ext>
                <a:ext uri="{FF2B5EF4-FFF2-40B4-BE49-F238E27FC236}">
                  <a16:creationId xmlns:a16="http://schemas.microsoft.com/office/drawing/2014/main" id="{00000000-0008-0000-1000-000018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32</xdr:row>
          <xdr:rowOff>200025</xdr:rowOff>
        </xdr:from>
        <xdr:to>
          <xdr:col>5</xdr:col>
          <xdr:colOff>447675</xdr:colOff>
          <xdr:row>32</xdr:row>
          <xdr:rowOff>457200</xdr:rowOff>
        </xdr:to>
        <xdr:sp macro="" textlink="">
          <xdr:nvSpPr>
            <xdr:cNvPr id="138265" name="Check Box 25" hidden="1">
              <a:extLst>
                <a:ext uri="{63B3BB69-23CF-44E3-9099-C40C66FF867C}">
                  <a14:compatExt spid="_x0000_s138265"/>
                </a:ext>
                <a:ext uri="{FF2B5EF4-FFF2-40B4-BE49-F238E27FC236}">
                  <a16:creationId xmlns:a16="http://schemas.microsoft.com/office/drawing/2014/main" id="{00000000-0008-0000-1000-000019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33</xdr:row>
          <xdr:rowOff>200025</xdr:rowOff>
        </xdr:from>
        <xdr:to>
          <xdr:col>5</xdr:col>
          <xdr:colOff>447675</xdr:colOff>
          <xdr:row>33</xdr:row>
          <xdr:rowOff>457200</xdr:rowOff>
        </xdr:to>
        <xdr:sp macro="" textlink="">
          <xdr:nvSpPr>
            <xdr:cNvPr id="138266" name="Check Box 26" hidden="1">
              <a:extLst>
                <a:ext uri="{63B3BB69-23CF-44E3-9099-C40C66FF867C}">
                  <a14:compatExt spid="_x0000_s138266"/>
                </a:ext>
                <a:ext uri="{FF2B5EF4-FFF2-40B4-BE49-F238E27FC236}">
                  <a16:creationId xmlns:a16="http://schemas.microsoft.com/office/drawing/2014/main" id="{00000000-0008-0000-1000-00001A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34</xdr:row>
          <xdr:rowOff>200025</xdr:rowOff>
        </xdr:from>
        <xdr:to>
          <xdr:col>5</xdr:col>
          <xdr:colOff>447675</xdr:colOff>
          <xdr:row>34</xdr:row>
          <xdr:rowOff>457200</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1000-00001B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35</xdr:row>
          <xdr:rowOff>200025</xdr:rowOff>
        </xdr:from>
        <xdr:to>
          <xdr:col>5</xdr:col>
          <xdr:colOff>447675</xdr:colOff>
          <xdr:row>35</xdr:row>
          <xdr:rowOff>457200</xdr:rowOff>
        </xdr:to>
        <xdr:sp macro="" textlink="">
          <xdr:nvSpPr>
            <xdr:cNvPr id="138268" name="Check Box 28" hidden="1">
              <a:extLst>
                <a:ext uri="{63B3BB69-23CF-44E3-9099-C40C66FF867C}">
                  <a14:compatExt spid="_x0000_s138268"/>
                </a:ext>
                <a:ext uri="{FF2B5EF4-FFF2-40B4-BE49-F238E27FC236}">
                  <a16:creationId xmlns:a16="http://schemas.microsoft.com/office/drawing/2014/main" id="{00000000-0008-0000-1000-00001C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37</xdr:row>
          <xdr:rowOff>200025</xdr:rowOff>
        </xdr:from>
        <xdr:to>
          <xdr:col>5</xdr:col>
          <xdr:colOff>447675</xdr:colOff>
          <xdr:row>37</xdr:row>
          <xdr:rowOff>457200</xdr:rowOff>
        </xdr:to>
        <xdr:sp macro="" textlink="">
          <xdr:nvSpPr>
            <xdr:cNvPr id="138269" name="Check Box 29" hidden="1">
              <a:extLst>
                <a:ext uri="{63B3BB69-23CF-44E3-9099-C40C66FF867C}">
                  <a14:compatExt spid="_x0000_s138269"/>
                </a:ext>
                <a:ext uri="{FF2B5EF4-FFF2-40B4-BE49-F238E27FC236}">
                  <a16:creationId xmlns:a16="http://schemas.microsoft.com/office/drawing/2014/main" id="{00000000-0008-0000-1000-00001D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38</xdr:row>
          <xdr:rowOff>200025</xdr:rowOff>
        </xdr:from>
        <xdr:to>
          <xdr:col>5</xdr:col>
          <xdr:colOff>447675</xdr:colOff>
          <xdr:row>38</xdr:row>
          <xdr:rowOff>457200</xdr:rowOff>
        </xdr:to>
        <xdr:sp macro="" textlink="">
          <xdr:nvSpPr>
            <xdr:cNvPr id="138270" name="Check Box 30" hidden="1">
              <a:extLst>
                <a:ext uri="{63B3BB69-23CF-44E3-9099-C40C66FF867C}">
                  <a14:compatExt spid="_x0000_s138270"/>
                </a:ext>
                <a:ext uri="{FF2B5EF4-FFF2-40B4-BE49-F238E27FC236}">
                  <a16:creationId xmlns:a16="http://schemas.microsoft.com/office/drawing/2014/main" id="{00000000-0008-0000-1000-00001E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39</xdr:row>
          <xdr:rowOff>200025</xdr:rowOff>
        </xdr:from>
        <xdr:to>
          <xdr:col>5</xdr:col>
          <xdr:colOff>447675</xdr:colOff>
          <xdr:row>39</xdr:row>
          <xdr:rowOff>457200</xdr:rowOff>
        </xdr:to>
        <xdr:sp macro="" textlink="">
          <xdr:nvSpPr>
            <xdr:cNvPr id="138271" name="Check Box 31" hidden="1">
              <a:extLst>
                <a:ext uri="{63B3BB69-23CF-44E3-9099-C40C66FF867C}">
                  <a14:compatExt spid="_x0000_s138271"/>
                </a:ext>
                <a:ext uri="{FF2B5EF4-FFF2-40B4-BE49-F238E27FC236}">
                  <a16:creationId xmlns:a16="http://schemas.microsoft.com/office/drawing/2014/main" id="{00000000-0008-0000-1000-00001F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40</xdr:row>
          <xdr:rowOff>200025</xdr:rowOff>
        </xdr:from>
        <xdr:to>
          <xdr:col>5</xdr:col>
          <xdr:colOff>447675</xdr:colOff>
          <xdr:row>40</xdr:row>
          <xdr:rowOff>457200</xdr:rowOff>
        </xdr:to>
        <xdr:sp macro="" textlink="">
          <xdr:nvSpPr>
            <xdr:cNvPr id="138272" name="Check Box 32" hidden="1">
              <a:extLst>
                <a:ext uri="{63B3BB69-23CF-44E3-9099-C40C66FF867C}">
                  <a14:compatExt spid="_x0000_s138272"/>
                </a:ext>
                <a:ext uri="{FF2B5EF4-FFF2-40B4-BE49-F238E27FC236}">
                  <a16:creationId xmlns:a16="http://schemas.microsoft.com/office/drawing/2014/main" id="{00000000-0008-0000-1000-000020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42</xdr:row>
          <xdr:rowOff>200025</xdr:rowOff>
        </xdr:from>
        <xdr:to>
          <xdr:col>5</xdr:col>
          <xdr:colOff>447675</xdr:colOff>
          <xdr:row>42</xdr:row>
          <xdr:rowOff>457200</xdr:rowOff>
        </xdr:to>
        <xdr:sp macro="" textlink="">
          <xdr:nvSpPr>
            <xdr:cNvPr id="138273" name="Check Box 33" hidden="1">
              <a:extLst>
                <a:ext uri="{63B3BB69-23CF-44E3-9099-C40C66FF867C}">
                  <a14:compatExt spid="_x0000_s138273"/>
                </a:ext>
                <a:ext uri="{FF2B5EF4-FFF2-40B4-BE49-F238E27FC236}">
                  <a16:creationId xmlns:a16="http://schemas.microsoft.com/office/drawing/2014/main" id="{00000000-0008-0000-1000-000021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43</xdr:row>
          <xdr:rowOff>200025</xdr:rowOff>
        </xdr:from>
        <xdr:to>
          <xdr:col>5</xdr:col>
          <xdr:colOff>447675</xdr:colOff>
          <xdr:row>43</xdr:row>
          <xdr:rowOff>457200</xdr:rowOff>
        </xdr:to>
        <xdr:sp macro="" textlink="">
          <xdr:nvSpPr>
            <xdr:cNvPr id="138274" name="Check Box 34" hidden="1">
              <a:extLst>
                <a:ext uri="{63B3BB69-23CF-44E3-9099-C40C66FF867C}">
                  <a14:compatExt spid="_x0000_s138274"/>
                </a:ext>
                <a:ext uri="{FF2B5EF4-FFF2-40B4-BE49-F238E27FC236}">
                  <a16:creationId xmlns:a16="http://schemas.microsoft.com/office/drawing/2014/main" id="{00000000-0008-0000-1000-000022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44</xdr:row>
          <xdr:rowOff>200025</xdr:rowOff>
        </xdr:from>
        <xdr:to>
          <xdr:col>5</xdr:col>
          <xdr:colOff>447675</xdr:colOff>
          <xdr:row>44</xdr:row>
          <xdr:rowOff>457200</xdr:rowOff>
        </xdr:to>
        <xdr:sp macro="" textlink="">
          <xdr:nvSpPr>
            <xdr:cNvPr id="138275" name="Check Box 35" hidden="1">
              <a:extLst>
                <a:ext uri="{63B3BB69-23CF-44E3-9099-C40C66FF867C}">
                  <a14:compatExt spid="_x0000_s138275"/>
                </a:ext>
                <a:ext uri="{FF2B5EF4-FFF2-40B4-BE49-F238E27FC236}">
                  <a16:creationId xmlns:a16="http://schemas.microsoft.com/office/drawing/2014/main" id="{00000000-0008-0000-1000-000023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45</xdr:row>
          <xdr:rowOff>200025</xdr:rowOff>
        </xdr:from>
        <xdr:to>
          <xdr:col>5</xdr:col>
          <xdr:colOff>447675</xdr:colOff>
          <xdr:row>45</xdr:row>
          <xdr:rowOff>457200</xdr:rowOff>
        </xdr:to>
        <xdr:sp macro="" textlink="">
          <xdr:nvSpPr>
            <xdr:cNvPr id="138276" name="Check Box 36" hidden="1">
              <a:extLst>
                <a:ext uri="{63B3BB69-23CF-44E3-9099-C40C66FF867C}">
                  <a14:compatExt spid="_x0000_s138276"/>
                </a:ext>
                <a:ext uri="{FF2B5EF4-FFF2-40B4-BE49-F238E27FC236}">
                  <a16:creationId xmlns:a16="http://schemas.microsoft.com/office/drawing/2014/main" id="{00000000-0008-0000-1000-000024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46</xdr:row>
          <xdr:rowOff>200025</xdr:rowOff>
        </xdr:from>
        <xdr:to>
          <xdr:col>5</xdr:col>
          <xdr:colOff>447675</xdr:colOff>
          <xdr:row>46</xdr:row>
          <xdr:rowOff>457200</xdr:rowOff>
        </xdr:to>
        <xdr:sp macro="" textlink="">
          <xdr:nvSpPr>
            <xdr:cNvPr id="138277" name="Check Box 37" hidden="1">
              <a:extLst>
                <a:ext uri="{63B3BB69-23CF-44E3-9099-C40C66FF867C}">
                  <a14:compatExt spid="_x0000_s138277"/>
                </a:ext>
                <a:ext uri="{FF2B5EF4-FFF2-40B4-BE49-F238E27FC236}">
                  <a16:creationId xmlns:a16="http://schemas.microsoft.com/office/drawing/2014/main" id="{00000000-0008-0000-1000-000025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4143375</xdr:colOff>
          <xdr:row>51</xdr:row>
          <xdr:rowOff>76200</xdr:rowOff>
        </xdr:from>
        <xdr:to>
          <xdr:col>3</xdr:col>
          <xdr:colOff>571500</xdr:colOff>
          <xdr:row>53</xdr:row>
          <xdr:rowOff>161925</xdr:rowOff>
        </xdr:to>
        <xdr:sp macro="" textlink="">
          <xdr:nvSpPr>
            <xdr:cNvPr id="138278" name="Button 38" hidden="1">
              <a:extLst>
                <a:ext uri="{63B3BB69-23CF-44E3-9099-C40C66FF867C}">
                  <a14:compatExt spid="_x0000_s138278"/>
                </a:ext>
                <a:ext uri="{FF2B5EF4-FFF2-40B4-BE49-F238E27FC236}">
                  <a16:creationId xmlns:a16="http://schemas.microsoft.com/office/drawing/2014/main" id="{00000000-0008-0000-1000-0000261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800100</xdr:colOff>
          <xdr:row>51</xdr:row>
          <xdr:rowOff>85725</xdr:rowOff>
        </xdr:from>
        <xdr:to>
          <xdr:col>2</xdr:col>
          <xdr:colOff>1981200</xdr:colOff>
          <xdr:row>53</xdr:row>
          <xdr:rowOff>161925</xdr:rowOff>
        </xdr:to>
        <xdr:sp macro="" textlink="">
          <xdr:nvSpPr>
            <xdr:cNvPr id="138279" name="Button 39" hidden="1">
              <a:extLst>
                <a:ext uri="{63B3BB69-23CF-44E3-9099-C40C66FF867C}">
                  <a14:compatExt spid="_x0000_s138279"/>
                </a:ext>
                <a:ext uri="{FF2B5EF4-FFF2-40B4-BE49-F238E27FC236}">
                  <a16:creationId xmlns:a16="http://schemas.microsoft.com/office/drawing/2014/main" id="{00000000-0008-0000-1000-0000271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48</xdr:row>
          <xdr:rowOff>200025</xdr:rowOff>
        </xdr:from>
        <xdr:to>
          <xdr:col>5</xdr:col>
          <xdr:colOff>447675</xdr:colOff>
          <xdr:row>48</xdr:row>
          <xdr:rowOff>457200</xdr:rowOff>
        </xdr:to>
        <xdr:sp macro="" textlink="">
          <xdr:nvSpPr>
            <xdr:cNvPr id="138280" name="Check Box 40" hidden="1">
              <a:extLst>
                <a:ext uri="{63B3BB69-23CF-44E3-9099-C40C66FF867C}">
                  <a14:compatExt spid="_x0000_s138280"/>
                </a:ext>
                <a:ext uri="{FF2B5EF4-FFF2-40B4-BE49-F238E27FC236}">
                  <a16:creationId xmlns:a16="http://schemas.microsoft.com/office/drawing/2014/main" id="{00000000-0008-0000-1000-0000281C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161925</xdr:colOff>
          <xdr:row>4</xdr:row>
          <xdr:rowOff>200025</xdr:rowOff>
        </xdr:from>
        <xdr:to>
          <xdr:col>5</xdr:col>
          <xdr:colOff>447675</xdr:colOff>
          <xdr:row>4</xdr:row>
          <xdr:rowOff>457200</xdr:rowOff>
        </xdr:to>
        <xdr:sp macro="" textlink="">
          <xdr:nvSpPr>
            <xdr:cNvPr id="139265" name="Check Box 1" hidden="1">
              <a:extLst>
                <a:ext uri="{63B3BB69-23CF-44E3-9099-C40C66FF867C}">
                  <a14:compatExt spid="_x0000_s139265"/>
                </a:ext>
                <a:ext uri="{FF2B5EF4-FFF2-40B4-BE49-F238E27FC236}">
                  <a16:creationId xmlns:a16="http://schemas.microsoft.com/office/drawing/2014/main" id="{00000000-0008-0000-1100-000001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5</xdr:row>
          <xdr:rowOff>200025</xdr:rowOff>
        </xdr:from>
        <xdr:to>
          <xdr:col>5</xdr:col>
          <xdr:colOff>447675</xdr:colOff>
          <xdr:row>5</xdr:row>
          <xdr:rowOff>457200</xdr:rowOff>
        </xdr:to>
        <xdr:sp macro="" textlink="">
          <xdr:nvSpPr>
            <xdr:cNvPr id="139266" name="Check Box 2" hidden="1">
              <a:extLst>
                <a:ext uri="{63B3BB69-23CF-44E3-9099-C40C66FF867C}">
                  <a14:compatExt spid="_x0000_s139266"/>
                </a:ext>
                <a:ext uri="{FF2B5EF4-FFF2-40B4-BE49-F238E27FC236}">
                  <a16:creationId xmlns:a16="http://schemas.microsoft.com/office/drawing/2014/main" id="{00000000-0008-0000-1100-000002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6</xdr:row>
          <xdr:rowOff>200025</xdr:rowOff>
        </xdr:from>
        <xdr:to>
          <xdr:col>5</xdr:col>
          <xdr:colOff>447675</xdr:colOff>
          <xdr:row>6</xdr:row>
          <xdr:rowOff>457200</xdr:rowOff>
        </xdr:to>
        <xdr:sp macro="" textlink="">
          <xdr:nvSpPr>
            <xdr:cNvPr id="139267" name="Check Box 3" hidden="1">
              <a:extLst>
                <a:ext uri="{63B3BB69-23CF-44E3-9099-C40C66FF867C}">
                  <a14:compatExt spid="_x0000_s139267"/>
                </a:ext>
                <a:ext uri="{FF2B5EF4-FFF2-40B4-BE49-F238E27FC236}">
                  <a16:creationId xmlns:a16="http://schemas.microsoft.com/office/drawing/2014/main" id="{00000000-0008-0000-1100-000003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7</xdr:row>
          <xdr:rowOff>200025</xdr:rowOff>
        </xdr:from>
        <xdr:to>
          <xdr:col>5</xdr:col>
          <xdr:colOff>447675</xdr:colOff>
          <xdr:row>7</xdr:row>
          <xdr:rowOff>457200</xdr:rowOff>
        </xdr:to>
        <xdr:sp macro="" textlink="">
          <xdr:nvSpPr>
            <xdr:cNvPr id="139268" name="Check Box 4" hidden="1">
              <a:extLst>
                <a:ext uri="{63B3BB69-23CF-44E3-9099-C40C66FF867C}">
                  <a14:compatExt spid="_x0000_s139268"/>
                </a:ext>
                <a:ext uri="{FF2B5EF4-FFF2-40B4-BE49-F238E27FC236}">
                  <a16:creationId xmlns:a16="http://schemas.microsoft.com/office/drawing/2014/main" id="{00000000-0008-0000-1100-000004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8</xdr:row>
          <xdr:rowOff>200025</xdr:rowOff>
        </xdr:from>
        <xdr:to>
          <xdr:col>5</xdr:col>
          <xdr:colOff>447675</xdr:colOff>
          <xdr:row>8</xdr:row>
          <xdr:rowOff>457200</xdr:rowOff>
        </xdr:to>
        <xdr:sp macro="" textlink="">
          <xdr:nvSpPr>
            <xdr:cNvPr id="139269" name="Check Box 5" hidden="1">
              <a:extLst>
                <a:ext uri="{63B3BB69-23CF-44E3-9099-C40C66FF867C}">
                  <a14:compatExt spid="_x0000_s139269"/>
                </a:ext>
                <a:ext uri="{FF2B5EF4-FFF2-40B4-BE49-F238E27FC236}">
                  <a16:creationId xmlns:a16="http://schemas.microsoft.com/office/drawing/2014/main" id="{00000000-0008-0000-1100-000005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9</xdr:row>
          <xdr:rowOff>200025</xdr:rowOff>
        </xdr:from>
        <xdr:to>
          <xdr:col>5</xdr:col>
          <xdr:colOff>447675</xdr:colOff>
          <xdr:row>9</xdr:row>
          <xdr:rowOff>457200</xdr:rowOff>
        </xdr:to>
        <xdr:sp macro="" textlink="">
          <xdr:nvSpPr>
            <xdr:cNvPr id="139270" name="Check Box 6" hidden="1">
              <a:extLst>
                <a:ext uri="{63B3BB69-23CF-44E3-9099-C40C66FF867C}">
                  <a14:compatExt spid="_x0000_s139270"/>
                </a:ext>
                <a:ext uri="{FF2B5EF4-FFF2-40B4-BE49-F238E27FC236}">
                  <a16:creationId xmlns:a16="http://schemas.microsoft.com/office/drawing/2014/main" id="{00000000-0008-0000-1100-000006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10</xdr:row>
          <xdr:rowOff>200025</xdr:rowOff>
        </xdr:from>
        <xdr:to>
          <xdr:col>5</xdr:col>
          <xdr:colOff>447675</xdr:colOff>
          <xdr:row>10</xdr:row>
          <xdr:rowOff>457200</xdr:rowOff>
        </xdr:to>
        <xdr:sp macro="" textlink="">
          <xdr:nvSpPr>
            <xdr:cNvPr id="139271" name="Check Box 7" hidden="1">
              <a:extLst>
                <a:ext uri="{63B3BB69-23CF-44E3-9099-C40C66FF867C}">
                  <a14:compatExt spid="_x0000_s139271"/>
                </a:ext>
                <a:ext uri="{FF2B5EF4-FFF2-40B4-BE49-F238E27FC236}">
                  <a16:creationId xmlns:a16="http://schemas.microsoft.com/office/drawing/2014/main" id="{00000000-0008-0000-1100-000007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12</xdr:row>
          <xdr:rowOff>200025</xdr:rowOff>
        </xdr:from>
        <xdr:to>
          <xdr:col>5</xdr:col>
          <xdr:colOff>447675</xdr:colOff>
          <xdr:row>12</xdr:row>
          <xdr:rowOff>457200</xdr:rowOff>
        </xdr:to>
        <xdr:sp macro="" textlink="">
          <xdr:nvSpPr>
            <xdr:cNvPr id="139272" name="Check Box 8" hidden="1">
              <a:extLst>
                <a:ext uri="{63B3BB69-23CF-44E3-9099-C40C66FF867C}">
                  <a14:compatExt spid="_x0000_s139272"/>
                </a:ext>
                <a:ext uri="{FF2B5EF4-FFF2-40B4-BE49-F238E27FC236}">
                  <a16:creationId xmlns:a16="http://schemas.microsoft.com/office/drawing/2014/main" id="{00000000-0008-0000-1100-000008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13</xdr:row>
          <xdr:rowOff>200025</xdr:rowOff>
        </xdr:from>
        <xdr:to>
          <xdr:col>5</xdr:col>
          <xdr:colOff>447675</xdr:colOff>
          <xdr:row>13</xdr:row>
          <xdr:rowOff>457200</xdr:rowOff>
        </xdr:to>
        <xdr:sp macro="" textlink="">
          <xdr:nvSpPr>
            <xdr:cNvPr id="139273" name="Check Box 9" hidden="1">
              <a:extLst>
                <a:ext uri="{63B3BB69-23CF-44E3-9099-C40C66FF867C}">
                  <a14:compatExt spid="_x0000_s139273"/>
                </a:ext>
                <a:ext uri="{FF2B5EF4-FFF2-40B4-BE49-F238E27FC236}">
                  <a16:creationId xmlns:a16="http://schemas.microsoft.com/office/drawing/2014/main" id="{00000000-0008-0000-1100-000009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14</xdr:row>
          <xdr:rowOff>200025</xdr:rowOff>
        </xdr:from>
        <xdr:to>
          <xdr:col>5</xdr:col>
          <xdr:colOff>447675</xdr:colOff>
          <xdr:row>14</xdr:row>
          <xdr:rowOff>457200</xdr:rowOff>
        </xdr:to>
        <xdr:sp macro="" textlink="">
          <xdr:nvSpPr>
            <xdr:cNvPr id="139274" name="Check Box 10" hidden="1">
              <a:extLst>
                <a:ext uri="{63B3BB69-23CF-44E3-9099-C40C66FF867C}">
                  <a14:compatExt spid="_x0000_s139274"/>
                </a:ext>
                <a:ext uri="{FF2B5EF4-FFF2-40B4-BE49-F238E27FC236}">
                  <a16:creationId xmlns:a16="http://schemas.microsoft.com/office/drawing/2014/main" id="{00000000-0008-0000-1100-00000A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15</xdr:row>
          <xdr:rowOff>200025</xdr:rowOff>
        </xdr:from>
        <xdr:to>
          <xdr:col>5</xdr:col>
          <xdr:colOff>447675</xdr:colOff>
          <xdr:row>15</xdr:row>
          <xdr:rowOff>457200</xdr:rowOff>
        </xdr:to>
        <xdr:sp macro="" textlink="">
          <xdr:nvSpPr>
            <xdr:cNvPr id="139275" name="Check Box 11" hidden="1">
              <a:extLst>
                <a:ext uri="{63B3BB69-23CF-44E3-9099-C40C66FF867C}">
                  <a14:compatExt spid="_x0000_s139275"/>
                </a:ext>
                <a:ext uri="{FF2B5EF4-FFF2-40B4-BE49-F238E27FC236}">
                  <a16:creationId xmlns:a16="http://schemas.microsoft.com/office/drawing/2014/main" id="{00000000-0008-0000-1100-00000B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16</xdr:row>
          <xdr:rowOff>200025</xdr:rowOff>
        </xdr:from>
        <xdr:to>
          <xdr:col>5</xdr:col>
          <xdr:colOff>447675</xdr:colOff>
          <xdr:row>16</xdr:row>
          <xdr:rowOff>457200</xdr:rowOff>
        </xdr:to>
        <xdr:sp macro="" textlink="">
          <xdr:nvSpPr>
            <xdr:cNvPr id="139276" name="Check Box 12" hidden="1">
              <a:extLst>
                <a:ext uri="{63B3BB69-23CF-44E3-9099-C40C66FF867C}">
                  <a14:compatExt spid="_x0000_s139276"/>
                </a:ext>
                <a:ext uri="{FF2B5EF4-FFF2-40B4-BE49-F238E27FC236}">
                  <a16:creationId xmlns:a16="http://schemas.microsoft.com/office/drawing/2014/main" id="{00000000-0008-0000-1100-00000C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17</xdr:row>
          <xdr:rowOff>200025</xdr:rowOff>
        </xdr:from>
        <xdr:to>
          <xdr:col>5</xdr:col>
          <xdr:colOff>447675</xdr:colOff>
          <xdr:row>17</xdr:row>
          <xdr:rowOff>457200</xdr:rowOff>
        </xdr:to>
        <xdr:sp macro="" textlink="">
          <xdr:nvSpPr>
            <xdr:cNvPr id="139277" name="Check Box 13" hidden="1">
              <a:extLst>
                <a:ext uri="{63B3BB69-23CF-44E3-9099-C40C66FF867C}">
                  <a14:compatExt spid="_x0000_s139277"/>
                </a:ext>
                <a:ext uri="{FF2B5EF4-FFF2-40B4-BE49-F238E27FC236}">
                  <a16:creationId xmlns:a16="http://schemas.microsoft.com/office/drawing/2014/main" id="{00000000-0008-0000-1100-00000D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19</xdr:row>
          <xdr:rowOff>200025</xdr:rowOff>
        </xdr:from>
        <xdr:to>
          <xdr:col>5</xdr:col>
          <xdr:colOff>447675</xdr:colOff>
          <xdr:row>19</xdr:row>
          <xdr:rowOff>457200</xdr:rowOff>
        </xdr:to>
        <xdr:sp macro="" textlink="">
          <xdr:nvSpPr>
            <xdr:cNvPr id="139278" name="Check Box 14" hidden="1">
              <a:extLst>
                <a:ext uri="{63B3BB69-23CF-44E3-9099-C40C66FF867C}">
                  <a14:compatExt spid="_x0000_s139278"/>
                </a:ext>
                <a:ext uri="{FF2B5EF4-FFF2-40B4-BE49-F238E27FC236}">
                  <a16:creationId xmlns:a16="http://schemas.microsoft.com/office/drawing/2014/main" id="{00000000-0008-0000-1100-00000E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20</xdr:row>
          <xdr:rowOff>200025</xdr:rowOff>
        </xdr:from>
        <xdr:to>
          <xdr:col>5</xdr:col>
          <xdr:colOff>447675</xdr:colOff>
          <xdr:row>20</xdr:row>
          <xdr:rowOff>457200</xdr:rowOff>
        </xdr:to>
        <xdr:sp macro="" textlink="">
          <xdr:nvSpPr>
            <xdr:cNvPr id="139279" name="Check Box 15" hidden="1">
              <a:extLst>
                <a:ext uri="{63B3BB69-23CF-44E3-9099-C40C66FF867C}">
                  <a14:compatExt spid="_x0000_s139279"/>
                </a:ext>
                <a:ext uri="{FF2B5EF4-FFF2-40B4-BE49-F238E27FC236}">
                  <a16:creationId xmlns:a16="http://schemas.microsoft.com/office/drawing/2014/main" id="{00000000-0008-0000-1100-00000F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21</xdr:row>
          <xdr:rowOff>200025</xdr:rowOff>
        </xdr:from>
        <xdr:to>
          <xdr:col>5</xdr:col>
          <xdr:colOff>447675</xdr:colOff>
          <xdr:row>21</xdr:row>
          <xdr:rowOff>457200</xdr:rowOff>
        </xdr:to>
        <xdr:sp macro="" textlink="">
          <xdr:nvSpPr>
            <xdr:cNvPr id="139280" name="Check Box 16" hidden="1">
              <a:extLst>
                <a:ext uri="{63B3BB69-23CF-44E3-9099-C40C66FF867C}">
                  <a14:compatExt spid="_x0000_s139280"/>
                </a:ext>
                <a:ext uri="{FF2B5EF4-FFF2-40B4-BE49-F238E27FC236}">
                  <a16:creationId xmlns:a16="http://schemas.microsoft.com/office/drawing/2014/main" id="{00000000-0008-0000-1100-000010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22</xdr:row>
          <xdr:rowOff>200025</xdr:rowOff>
        </xdr:from>
        <xdr:to>
          <xdr:col>5</xdr:col>
          <xdr:colOff>447675</xdr:colOff>
          <xdr:row>22</xdr:row>
          <xdr:rowOff>457200</xdr:rowOff>
        </xdr:to>
        <xdr:sp macro="" textlink="">
          <xdr:nvSpPr>
            <xdr:cNvPr id="139281" name="Check Box 17" hidden="1">
              <a:extLst>
                <a:ext uri="{63B3BB69-23CF-44E3-9099-C40C66FF867C}">
                  <a14:compatExt spid="_x0000_s139281"/>
                </a:ext>
                <a:ext uri="{FF2B5EF4-FFF2-40B4-BE49-F238E27FC236}">
                  <a16:creationId xmlns:a16="http://schemas.microsoft.com/office/drawing/2014/main" id="{00000000-0008-0000-1100-000011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23</xdr:row>
          <xdr:rowOff>200025</xdr:rowOff>
        </xdr:from>
        <xdr:to>
          <xdr:col>5</xdr:col>
          <xdr:colOff>447675</xdr:colOff>
          <xdr:row>23</xdr:row>
          <xdr:rowOff>457200</xdr:rowOff>
        </xdr:to>
        <xdr:sp macro="" textlink="">
          <xdr:nvSpPr>
            <xdr:cNvPr id="139282" name="Check Box 18" hidden="1">
              <a:extLst>
                <a:ext uri="{63B3BB69-23CF-44E3-9099-C40C66FF867C}">
                  <a14:compatExt spid="_x0000_s139282"/>
                </a:ext>
                <a:ext uri="{FF2B5EF4-FFF2-40B4-BE49-F238E27FC236}">
                  <a16:creationId xmlns:a16="http://schemas.microsoft.com/office/drawing/2014/main" id="{00000000-0008-0000-1100-000012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25</xdr:row>
          <xdr:rowOff>200025</xdr:rowOff>
        </xdr:from>
        <xdr:to>
          <xdr:col>5</xdr:col>
          <xdr:colOff>447675</xdr:colOff>
          <xdr:row>25</xdr:row>
          <xdr:rowOff>457200</xdr:rowOff>
        </xdr:to>
        <xdr:sp macro="" textlink="">
          <xdr:nvSpPr>
            <xdr:cNvPr id="139283" name="Check Box 19" hidden="1">
              <a:extLst>
                <a:ext uri="{63B3BB69-23CF-44E3-9099-C40C66FF867C}">
                  <a14:compatExt spid="_x0000_s139283"/>
                </a:ext>
                <a:ext uri="{FF2B5EF4-FFF2-40B4-BE49-F238E27FC236}">
                  <a16:creationId xmlns:a16="http://schemas.microsoft.com/office/drawing/2014/main" id="{00000000-0008-0000-1100-000013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26</xdr:row>
          <xdr:rowOff>200025</xdr:rowOff>
        </xdr:from>
        <xdr:to>
          <xdr:col>5</xdr:col>
          <xdr:colOff>447675</xdr:colOff>
          <xdr:row>26</xdr:row>
          <xdr:rowOff>457200</xdr:rowOff>
        </xdr:to>
        <xdr:sp macro="" textlink="">
          <xdr:nvSpPr>
            <xdr:cNvPr id="139284" name="Check Box 20" hidden="1">
              <a:extLst>
                <a:ext uri="{63B3BB69-23CF-44E3-9099-C40C66FF867C}">
                  <a14:compatExt spid="_x0000_s139284"/>
                </a:ext>
                <a:ext uri="{FF2B5EF4-FFF2-40B4-BE49-F238E27FC236}">
                  <a16:creationId xmlns:a16="http://schemas.microsoft.com/office/drawing/2014/main" id="{00000000-0008-0000-1100-000014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27</xdr:row>
          <xdr:rowOff>200025</xdr:rowOff>
        </xdr:from>
        <xdr:to>
          <xdr:col>5</xdr:col>
          <xdr:colOff>447675</xdr:colOff>
          <xdr:row>27</xdr:row>
          <xdr:rowOff>457200</xdr:rowOff>
        </xdr:to>
        <xdr:sp macro="" textlink="">
          <xdr:nvSpPr>
            <xdr:cNvPr id="139285" name="Check Box 21" hidden="1">
              <a:extLst>
                <a:ext uri="{63B3BB69-23CF-44E3-9099-C40C66FF867C}">
                  <a14:compatExt spid="_x0000_s139285"/>
                </a:ext>
                <a:ext uri="{FF2B5EF4-FFF2-40B4-BE49-F238E27FC236}">
                  <a16:creationId xmlns:a16="http://schemas.microsoft.com/office/drawing/2014/main" id="{00000000-0008-0000-1100-000015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28</xdr:row>
          <xdr:rowOff>200025</xdr:rowOff>
        </xdr:from>
        <xdr:to>
          <xdr:col>5</xdr:col>
          <xdr:colOff>447675</xdr:colOff>
          <xdr:row>28</xdr:row>
          <xdr:rowOff>457200</xdr:rowOff>
        </xdr:to>
        <xdr:sp macro="" textlink="">
          <xdr:nvSpPr>
            <xdr:cNvPr id="139286" name="Check Box 22" hidden="1">
              <a:extLst>
                <a:ext uri="{63B3BB69-23CF-44E3-9099-C40C66FF867C}">
                  <a14:compatExt spid="_x0000_s139286"/>
                </a:ext>
                <a:ext uri="{FF2B5EF4-FFF2-40B4-BE49-F238E27FC236}">
                  <a16:creationId xmlns:a16="http://schemas.microsoft.com/office/drawing/2014/main" id="{00000000-0008-0000-1100-000016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29</xdr:row>
          <xdr:rowOff>200025</xdr:rowOff>
        </xdr:from>
        <xdr:to>
          <xdr:col>5</xdr:col>
          <xdr:colOff>447675</xdr:colOff>
          <xdr:row>29</xdr:row>
          <xdr:rowOff>457200</xdr:rowOff>
        </xdr:to>
        <xdr:sp macro="" textlink="">
          <xdr:nvSpPr>
            <xdr:cNvPr id="139287" name="Check Box 23" hidden="1">
              <a:extLst>
                <a:ext uri="{63B3BB69-23CF-44E3-9099-C40C66FF867C}">
                  <a14:compatExt spid="_x0000_s139287"/>
                </a:ext>
                <a:ext uri="{FF2B5EF4-FFF2-40B4-BE49-F238E27FC236}">
                  <a16:creationId xmlns:a16="http://schemas.microsoft.com/office/drawing/2014/main" id="{00000000-0008-0000-1100-000017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31</xdr:row>
          <xdr:rowOff>200025</xdr:rowOff>
        </xdr:from>
        <xdr:to>
          <xdr:col>5</xdr:col>
          <xdr:colOff>447675</xdr:colOff>
          <xdr:row>31</xdr:row>
          <xdr:rowOff>457200</xdr:rowOff>
        </xdr:to>
        <xdr:sp macro="" textlink="">
          <xdr:nvSpPr>
            <xdr:cNvPr id="139288" name="Check Box 24" hidden="1">
              <a:extLst>
                <a:ext uri="{63B3BB69-23CF-44E3-9099-C40C66FF867C}">
                  <a14:compatExt spid="_x0000_s139288"/>
                </a:ext>
                <a:ext uri="{FF2B5EF4-FFF2-40B4-BE49-F238E27FC236}">
                  <a16:creationId xmlns:a16="http://schemas.microsoft.com/office/drawing/2014/main" id="{00000000-0008-0000-1100-000018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32</xdr:row>
          <xdr:rowOff>200025</xdr:rowOff>
        </xdr:from>
        <xdr:to>
          <xdr:col>5</xdr:col>
          <xdr:colOff>447675</xdr:colOff>
          <xdr:row>32</xdr:row>
          <xdr:rowOff>457200</xdr:rowOff>
        </xdr:to>
        <xdr:sp macro="" textlink="">
          <xdr:nvSpPr>
            <xdr:cNvPr id="139289" name="Check Box 25" hidden="1">
              <a:extLst>
                <a:ext uri="{63B3BB69-23CF-44E3-9099-C40C66FF867C}">
                  <a14:compatExt spid="_x0000_s139289"/>
                </a:ext>
                <a:ext uri="{FF2B5EF4-FFF2-40B4-BE49-F238E27FC236}">
                  <a16:creationId xmlns:a16="http://schemas.microsoft.com/office/drawing/2014/main" id="{00000000-0008-0000-1100-000019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33</xdr:row>
          <xdr:rowOff>200025</xdr:rowOff>
        </xdr:from>
        <xdr:to>
          <xdr:col>5</xdr:col>
          <xdr:colOff>447675</xdr:colOff>
          <xdr:row>33</xdr:row>
          <xdr:rowOff>457200</xdr:rowOff>
        </xdr:to>
        <xdr:sp macro="" textlink="">
          <xdr:nvSpPr>
            <xdr:cNvPr id="139290" name="Check Box 26" hidden="1">
              <a:extLst>
                <a:ext uri="{63B3BB69-23CF-44E3-9099-C40C66FF867C}">
                  <a14:compatExt spid="_x0000_s139290"/>
                </a:ext>
                <a:ext uri="{FF2B5EF4-FFF2-40B4-BE49-F238E27FC236}">
                  <a16:creationId xmlns:a16="http://schemas.microsoft.com/office/drawing/2014/main" id="{00000000-0008-0000-1100-00001A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34</xdr:row>
          <xdr:rowOff>200025</xdr:rowOff>
        </xdr:from>
        <xdr:to>
          <xdr:col>5</xdr:col>
          <xdr:colOff>447675</xdr:colOff>
          <xdr:row>34</xdr:row>
          <xdr:rowOff>457200</xdr:rowOff>
        </xdr:to>
        <xdr:sp macro="" textlink="">
          <xdr:nvSpPr>
            <xdr:cNvPr id="139291" name="Check Box 27" hidden="1">
              <a:extLst>
                <a:ext uri="{63B3BB69-23CF-44E3-9099-C40C66FF867C}">
                  <a14:compatExt spid="_x0000_s139291"/>
                </a:ext>
                <a:ext uri="{FF2B5EF4-FFF2-40B4-BE49-F238E27FC236}">
                  <a16:creationId xmlns:a16="http://schemas.microsoft.com/office/drawing/2014/main" id="{00000000-0008-0000-1100-00001B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35</xdr:row>
          <xdr:rowOff>200025</xdr:rowOff>
        </xdr:from>
        <xdr:to>
          <xdr:col>5</xdr:col>
          <xdr:colOff>447675</xdr:colOff>
          <xdr:row>35</xdr:row>
          <xdr:rowOff>457200</xdr:rowOff>
        </xdr:to>
        <xdr:sp macro="" textlink="">
          <xdr:nvSpPr>
            <xdr:cNvPr id="139292" name="Check Box 28" hidden="1">
              <a:extLst>
                <a:ext uri="{63B3BB69-23CF-44E3-9099-C40C66FF867C}">
                  <a14:compatExt spid="_x0000_s139292"/>
                </a:ext>
                <a:ext uri="{FF2B5EF4-FFF2-40B4-BE49-F238E27FC236}">
                  <a16:creationId xmlns:a16="http://schemas.microsoft.com/office/drawing/2014/main" id="{00000000-0008-0000-1100-00001C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37</xdr:row>
          <xdr:rowOff>200025</xdr:rowOff>
        </xdr:from>
        <xdr:to>
          <xdr:col>5</xdr:col>
          <xdr:colOff>447675</xdr:colOff>
          <xdr:row>37</xdr:row>
          <xdr:rowOff>457200</xdr:rowOff>
        </xdr:to>
        <xdr:sp macro="" textlink="">
          <xdr:nvSpPr>
            <xdr:cNvPr id="139293" name="Check Box 29" hidden="1">
              <a:extLst>
                <a:ext uri="{63B3BB69-23CF-44E3-9099-C40C66FF867C}">
                  <a14:compatExt spid="_x0000_s139293"/>
                </a:ext>
                <a:ext uri="{FF2B5EF4-FFF2-40B4-BE49-F238E27FC236}">
                  <a16:creationId xmlns:a16="http://schemas.microsoft.com/office/drawing/2014/main" id="{00000000-0008-0000-1100-00001D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38</xdr:row>
          <xdr:rowOff>200025</xdr:rowOff>
        </xdr:from>
        <xdr:to>
          <xdr:col>5</xdr:col>
          <xdr:colOff>447675</xdr:colOff>
          <xdr:row>38</xdr:row>
          <xdr:rowOff>457200</xdr:rowOff>
        </xdr:to>
        <xdr:sp macro="" textlink="">
          <xdr:nvSpPr>
            <xdr:cNvPr id="139294" name="Check Box 30" hidden="1">
              <a:extLst>
                <a:ext uri="{63B3BB69-23CF-44E3-9099-C40C66FF867C}">
                  <a14:compatExt spid="_x0000_s139294"/>
                </a:ext>
                <a:ext uri="{FF2B5EF4-FFF2-40B4-BE49-F238E27FC236}">
                  <a16:creationId xmlns:a16="http://schemas.microsoft.com/office/drawing/2014/main" id="{00000000-0008-0000-1100-00001E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39</xdr:row>
          <xdr:rowOff>200025</xdr:rowOff>
        </xdr:from>
        <xdr:to>
          <xdr:col>5</xdr:col>
          <xdr:colOff>447675</xdr:colOff>
          <xdr:row>39</xdr:row>
          <xdr:rowOff>457200</xdr:rowOff>
        </xdr:to>
        <xdr:sp macro="" textlink="">
          <xdr:nvSpPr>
            <xdr:cNvPr id="139295" name="Check Box 31" hidden="1">
              <a:extLst>
                <a:ext uri="{63B3BB69-23CF-44E3-9099-C40C66FF867C}">
                  <a14:compatExt spid="_x0000_s139295"/>
                </a:ext>
                <a:ext uri="{FF2B5EF4-FFF2-40B4-BE49-F238E27FC236}">
                  <a16:creationId xmlns:a16="http://schemas.microsoft.com/office/drawing/2014/main" id="{00000000-0008-0000-1100-00001F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40</xdr:row>
          <xdr:rowOff>200025</xdr:rowOff>
        </xdr:from>
        <xdr:to>
          <xdr:col>5</xdr:col>
          <xdr:colOff>447675</xdr:colOff>
          <xdr:row>40</xdr:row>
          <xdr:rowOff>457200</xdr:rowOff>
        </xdr:to>
        <xdr:sp macro="" textlink="">
          <xdr:nvSpPr>
            <xdr:cNvPr id="139296" name="Check Box 32" hidden="1">
              <a:extLst>
                <a:ext uri="{63B3BB69-23CF-44E3-9099-C40C66FF867C}">
                  <a14:compatExt spid="_x0000_s139296"/>
                </a:ext>
                <a:ext uri="{FF2B5EF4-FFF2-40B4-BE49-F238E27FC236}">
                  <a16:creationId xmlns:a16="http://schemas.microsoft.com/office/drawing/2014/main" id="{00000000-0008-0000-1100-000020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42</xdr:row>
          <xdr:rowOff>200025</xdr:rowOff>
        </xdr:from>
        <xdr:to>
          <xdr:col>5</xdr:col>
          <xdr:colOff>447675</xdr:colOff>
          <xdr:row>42</xdr:row>
          <xdr:rowOff>457200</xdr:rowOff>
        </xdr:to>
        <xdr:sp macro="" textlink="">
          <xdr:nvSpPr>
            <xdr:cNvPr id="139297" name="Check Box 33" hidden="1">
              <a:extLst>
                <a:ext uri="{63B3BB69-23CF-44E3-9099-C40C66FF867C}">
                  <a14:compatExt spid="_x0000_s139297"/>
                </a:ext>
                <a:ext uri="{FF2B5EF4-FFF2-40B4-BE49-F238E27FC236}">
                  <a16:creationId xmlns:a16="http://schemas.microsoft.com/office/drawing/2014/main" id="{00000000-0008-0000-1100-000021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43</xdr:row>
          <xdr:rowOff>200025</xdr:rowOff>
        </xdr:from>
        <xdr:to>
          <xdr:col>5</xdr:col>
          <xdr:colOff>447675</xdr:colOff>
          <xdr:row>43</xdr:row>
          <xdr:rowOff>457200</xdr:rowOff>
        </xdr:to>
        <xdr:sp macro="" textlink="">
          <xdr:nvSpPr>
            <xdr:cNvPr id="139298" name="Check Box 34" hidden="1">
              <a:extLst>
                <a:ext uri="{63B3BB69-23CF-44E3-9099-C40C66FF867C}">
                  <a14:compatExt spid="_x0000_s139298"/>
                </a:ext>
                <a:ext uri="{FF2B5EF4-FFF2-40B4-BE49-F238E27FC236}">
                  <a16:creationId xmlns:a16="http://schemas.microsoft.com/office/drawing/2014/main" id="{00000000-0008-0000-1100-000022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44</xdr:row>
          <xdr:rowOff>200025</xdr:rowOff>
        </xdr:from>
        <xdr:to>
          <xdr:col>5</xdr:col>
          <xdr:colOff>447675</xdr:colOff>
          <xdr:row>44</xdr:row>
          <xdr:rowOff>457200</xdr:rowOff>
        </xdr:to>
        <xdr:sp macro="" textlink="">
          <xdr:nvSpPr>
            <xdr:cNvPr id="139299" name="Check Box 35" hidden="1">
              <a:extLst>
                <a:ext uri="{63B3BB69-23CF-44E3-9099-C40C66FF867C}">
                  <a14:compatExt spid="_x0000_s139299"/>
                </a:ext>
                <a:ext uri="{FF2B5EF4-FFF2-40B4-BE49-F238E27FC236}">
                  <a16:creationId xmlns:a16="http://schemas.microsoft.com/office/drawing/2014/main" id="{00000000-0008-0000-1100-000023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45</xdr:row>
          <xdr:rowOff>200025</xdr:rowOff>
        </xdr:from>
        <xdr:to>
          <xdr:col>5</xdr:col>
          <xdr:colOff>447675</xdr:colOff>
          <xdr:row>45</xdr:row>
          <xdr:rowOff>457200</xdr:rowOff>
        </xdr:to>
        <xdr:sp macro="" textlink="">
          <xdr:nvSpPr>
            <xdr:cNvPr id="139300" name="Check Box 36" hidden="1">
              <a:extLst>
                <a:ext uri="{63B3BB69-23CF-44E3-9099-C40C66FF867C}">
                  <a14:compatExt spid="_x0000_s139300"/>
                </a:ext>
                <a:ext uri="{FF2B5EF4-FFF2-40B4-BE49-F238E27FC236}">
                  <a16:creationId xmlns:a16="http://schemas.microsoft.com/office/drawing/2014/main" id="{00000000-0008-0000-1100-000024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46</xdr:row>
          <xdr:rowOff>200025</xdr:rowOff>
        </xdr:from>
        <xdr:to>
          <xdr:col>5</xdr:col>
          <xdr:colOff>447675</xdr:colOff>
          <xdr:row>46</xdr:row>
          <xdr:rowOff>457200</xdr:rowOff>
        </xdr:to>
        <xdr:sp macro="" textlink="">
          <xdr:nvSpPr>
            <xdr:cNvPr id="139301" name="Check Box 37" hidden="1">
              <a:extLst>
                <a:ext uri="{63B3BB69-23CF-44E3-9099-C40C66FF867C}">
                  <a14:compatExt spid="_x0000_s139301"/>
                </a:ext>
                <a:ext uri="{FF2B5EF4-FFF2-40B4-BE49-F238E27FC236}">
                  <a16:creationId xmlns:a16="http://schemas.microsoft.com/office/drawing/2014/main" id="{00000000-0008-0000-1100-000025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4143375</xdr:colOff>
          <xdr:row>51</xdr:row>
          <xdr:rowOff>76200</xdr:rowOff>
        </xdr:from>
        <xdr:to>
          <xdr:col>3</xdr:col>
          <xdr:colOff>571500</xdr:colOff>
          <xdr:row>53</xdr:row>
          <xdr:rowOff>161925</xdr:rowOff>
        </xdr:to>
        <xdr:sp macro="" textlink="">
          <xdr:nvSpPr>
            <xdr:cNvPr id="139302" name="Button 38" hidden="1">
              <a:extLst>
                <a:ext uri="{63B3BB69-23CF-44E3-9099-C40C66FF867C}">
                  <a14:compatExt spid="_x0000_s139302"/>
                </a:ext>
                <a:ext uri="{FF2B5EF4-FFF2-40B4-BE49-F238E27FC236}">
                  <a16:creationId xmlns:a16="http://schemas.microsoft.com/office/drawing/2014/main" id="{00000000-0008-0000-1100-0000262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942975</xdr:colOff>
          <xdr:row>51</xdr:row>
          <xdr:rowOff>85725</xdr:rowOff>
        </xdr:from>
        <xdr:to>
          <xdr:col>2</xdr:col>
          <xdr:colOff>2124075</xdr:colOff>
          <xdr:row>53</xdr:row>
          <xdr:rowOff>161925</xdr:rowOff>
        </xdr:to>
        <xdr:sp macro="" textlink="">
          <xdr:nvSpPr>
            <xdr:cNvPr id="139303" name="Button 39" hidden="1">
              <a:extLst>
                <a:ext uri="{63B3BB69-23CF-44E3-9099-C40C66FF867C}">
                  <a14:compatExt spid="_x0000_s139303"/>
                </a:ext>
                <a:ext uri="{FF2B5EF4-FFF2-40B4-BE49-F238E27FC236}">
                  <a16:creationId xmlns:a16="http://schemas.microsoft.com/office/drawing/2014/main" id="{00000000-0008-0000-1100-0000272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48</xdr:row>
          <xdr:rowOff>200025</xdr:rowOff>
        </xdr:from>
        <xdr:to>
          <xdr:col>5</xdr:col>
          <xdr:colOff>447675</xdr:colOff>
          <xdr:row>48</xdr:row>
          <xdr:rowOff>457200</xdr:rowOff>
        </xdr:to>
        <xdr:sp macro="" textlink="">
          <xdr:nvSpPr>
            <xdr:cNvPr id="139304" name="Check Box 40" hidden="1">
              <a:extLst>
                <a:ext uri="{63B3BB69-23CF-44E3-9099-C40C66FF867C}">
                  <a14:compatExt spid="_x0000_s139304"/>
                </a:ext>
                <a:ext uri="{FF2B5EF4-FFF2-40B4-BE49-F238E27FC236}">
                  <a16:creationId xmlns:a16="http://schemas.microsoft.com/office/drawing/2014/main" id="{00000000-0008-0000-1100-000028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85725</xdr:colOff>
          <xdr:row>54</xdr:row>
          <xdr:rowOff>47625</xdr:rowOff>
        </xdr:from>
        <xdr:to>
          <xdr:col>8</xdr:col>
          <xdr:colOff>1228725</xdr:colOff>
          <xdr:row>56</xdr:row>
          <xdr:rowOff>114300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12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0" i="0" u="none" strike="noStrike" baseline="0">
                  <a:solidFill>
                    <a:srgbClr val="000000"/>
                  </a:solidFill>
                  <a:latin typeface="Calibri"/>
                  <a:cs typeface="Calibri"/>
                </a:rPr>
                <a:t>Setup</a:t>
              </a:r>
            </a:p>
            <a:p>
              <a:pPr algn="ctr" rtl="0">
                <a:defRPr sz="1000"/>
              </a:pPr>
              <a:r>
                <a:rPr lang="en-PH" sz="800" b="0" i="0" u="none" strike="noStrike" baseline="0">
                  <a:solidFill>
                    <a:srgbClr val="000000"/>
                  </a:solidFill>
                  <a:latin typeface="Calibri"/>
                  <a:cs typeface="Calibri"/>
                </a:rPr>
                <a:t>(for Admin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3171825</xdr:colOff>
          <xdr:row>54</xdr:row>
          <xdr:rowOff>47625</xdr:rowOff>
        </xdr:from>
        <xdr:to>
          <xdr:col>8</xdr:col>
          <xdr:colOff>4314825</xdr:colOff>
          <xdr:row>56</xdr:row>
          <xdr:rowOff>123825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1200-000002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1" i="0" u="none" strike="noStrike" baseline="0">
                  <a:solidFill>
                    <a:srgbClr val="000000"/>
                  </a:solidFill>
                  <a:latin typeface="Calibri"/>
                  <a:cs typeface="Calibri"/>
                </a:rPr>
                <a:t>Proceed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3009900</xdr:colOff>
          <xdr:row>5</xdr:row>
          <xdr:rowOff>142875</xdr:rowOff>
        </xdr:from>
        <xdr:to>
          <xdr:col>8</xdr:col>
          <xdr:colOff>4152900</xdr:colOff>
          <xdr:row>7</xdr:row>
          <xdr:rowOff>161925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0" i="0" u="none" strike="noStrike" baseline="0">
                  <a:solidFill>
                    <a:srgbClr val="000000"/>
                  </a:solidFill>
                  <a:latin typeface="Calibri"/>
                  <a:cs typeface="Calibri"/>
                </a:rPr>
                <a:t>Setup</a:t>
              </a:r>
            </a:p>
            <a:p>
              <a:pPr algn="ctr" rtl="0">
                <a:defRPr sz="1000"/>
              </a:pPr>
              <a:r>
                <a:rPr lang="en-PH" sz="800" b="0" i="0" u="none" strike="noStrike" baseline="0">
                  <a:solidFill>
                    <a:srgbClr val="000000"/>
                  </a:solidFill>
                  <a:latin typeface="Calibri"/>
                  <a:cs typeface="Calibri"/>
                </a:rPr>
                <a:t>(for Admin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200025</xdr:colOff>
          <xdr:row>5</xdr:row>
          <xdr:rowOff>114300</xdr:rowOff>
        </xdr:from>
        <xdr:to>
          <xdr:col>10</xdr:col>
          <xdr:colOff>542925</xdr:colOff>
          <xdr:row>7</xdr:row>
          <xdr:rowOff>161925</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400" b="1" i="0" u="none" strike="noStrike" baseline="0">
                  <a:solidFill>
                    <a:srgbClr val="000000"/>
                  </a:solidFill>
                  <a:latin typeface="Calibri"/>
                  <a:cs typeface="Calibri"/>
                </a:rPr>
                <a:t>Proceed</a:t>
              </a:r>
            </a:p>
          </xdr:txBody>
        </xdr:sp>
        <xdr:clientData fPrintsWithSheet="0"/>
      </xdr:twoCellAnchor>
    </mc:Choice>
    <mc:Fallback/>
  </mc:AlternateContent>
  <xdr:twoCellAnchor editAs="oneCell">
    <xdr:from>
      <xdr:col>8</xdr:col>
      <xdr:colOff>4204484</xdr:colOff>
      <xdr:row>0</xdr:row>
      <xdr:rowOff>97693</xdr:rowOff>
    </xdr:from>
    <xdr:to>
      <xdr:col>9</xdr:col>
      <xdr:colOff>521951</xdr:colOff>
      <xdr:row>3</xdr:row>
      <xdr:rowOff>155448</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35253" y="97693"/>
          <a:ext cx="1143467" cy="770909"/>
        </a:xfrm>
        <a:prstGeom prst="rect">
          <a:avLst/>
        </a:prstGeom>
      </xdr:spPr>
    </xdr:pic>
    <xdr:clientData/>
  </xdr:twoCellAnchor>
  <xdr:twoCellAnchor editAs="oneCell">
    <xdr:from>
      <xdr:col>5</xdr:col>
      <xdr:colOff>859692</xdr:colOff>
      <xdr:row>0</xdr:row>
      <xdr:rowOff>134970</xdr:rowOff>
    </xdr:from>
    <xdr:to>
      <xdr:col>7</xdr:col>
      <xdr:colOff>172957</xdr:colOff>
      <xdr:row>2</xdr:row>
      <xdr:rowOff>182927</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26846" y="134970"/>
          <a:ext cx="1101034" cy="555957"/>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1943100</xdr:colOff>
          <xdr:row>61</xdr:row>
          <xdr:rowOff>142875</xdr:rowOff>
        </xdr:from>
        <xdr:to>
          <xdr:col>8</xdr:col>
          <xdr:colOff>2543175</xdr:colOff>
          <xdr:row>63</xdr:row>
          <xdr:rowOff>152400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1200-00000B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600" b="1" i="0" u="none" strike="noStrike" baseline="0">
                  <a:solidFill>
                    <a:srgbClr val="000000"/>
                  </a:solidFill>
                  <a:latin typeface="Calibri"/>
                  <a:cs typeface="Calibri"/>
                </a:rPr>
                <a:t>Fix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482600</xdr:colOff>
      <xdr:row>4</xdr:row>
      <xdr:rowOff>38100</xdr:rowOff>
    </xdr:from>
    <xdr:to>
      <xdr:col>13</xdr:col>
      <xdr:colOff>228600</xdr:colOff>
      <xdr:row>19</xdr:row>
      <xdr:rowOff>152400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482600" y="1219200"/>
          <a:ext cx="11137900" cy="297180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a:solidFill>
              <a:schemeClr val="accent2"/>
            </a:solidFill>
          </a:endParaRPr>
        </a:p>
        <a:p>
          <a:pPr algn="ctr"/>
          <a:r>
            <a:rPr lang="en-US" sz="4000" b="1">
              <a:solidFill>
                <a:schemeClr val="accent2"/>
              </a:solidFill>
            </a:rPr>
            <a:t>PRIVACY NOTICE</a:t>
          </a:r>
        </a:p>
        <a:p>
          <a:pPr algn="ctr"/>
          <a:endParaRPr lang="en-US" sz="2800" b="1"/>
        </a:p>
        <a:p>
          <a:pPr algn="ctr"/>
          <a:r>
            <a:rPr lang="en-US" sz="2400" b="1" i="0">
              <a:solidFill>
                <a:sysClr val="windowText" lastClr="000000"/>
              </a:solidFill>
              <a:latin typeface="Century Gothic" panose="020B0502020202020204" pitchFamily="34" charset="0"/>
            </a:rPr>
            <a:t>I authorize the</a:t>
          </a:r>
          <a:r>
            <a:rPr lang="en-US" sz="2400" b="1" i="0" baseline="0">
              <a:solidFill>
                <a:sysClr val="windowText" lastClr="000000"/>
              </a:solidFill>
              <a:latin typeface="Century Gothic" panose="020B0502020202020204" pitchFamily="34" charset="0"/>
            </a:rPr>
            <a:t> personnel of Department of Education to collect, </a:t>
          </a:r>
        </a:p>
        <a:p>
          <a:pPr algn="ctr"/>
          <a:r>
            <a:rPr lang="en-US" sz="2400" b="1" i="0" baseline="0">
              <a:solidFill>
                <a:sysClr val="windowText" lastClr="000000"/>
              </a:solidFill>
              <a:latin typeface="Century Gothic" panose="020B0502020202020204" pitchFamily="34" charset="0"/>
            </a:rPr>
            <a:t>process, retain, and dispose my personal information</a:t>
          </a:r>
        </a:p>
        <a:p>
          <a:pPr algn="ctr"/>
          <a:r>
            <a:rPr lang="en-US" sz="2400" b="1" i="0" baseline="0">
              <a:solidFill>
                <a:sysClr val="windowText" lastClr="000000"/>
              </a:solidFill>
              <a:latin typeface="Century Gothic" panose="020B0502020202020204" pitchFamily="34" charset="0"/>
            </a:rPr>
            <a:t>in accordance with the Data Privacy Act of 2012.</a:t>
          </a:r>
          <a:endParaRPr lang="en-US" sz="2400" b="1" i="0">
            <a:solidFill>
              <a:sysClr val="windowText" lastClr="000000"/>
            </a:solidFill>
            <a:latin typeface="Century Gothic" panose="020B0502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11</xdr:col>
          <xdr:colOff>238125</xdr:colOff>
          <xdr:row>22</xdr:row>
          <xdr:rowOff>47625</xdr:rowOff>
        </xdr:from>
        <xdr:to>
          <xdr:col>13</xdr:col>
          <xdr:colOff>219075</xdr:colOff>
          <xdr:row>26</xdr:row>
          <xdr:rowOff>114300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13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PH" sz="2200" b="1" i="0" u="none" strike="noStrike" baseline="0">
                  <a:solidFill>
                    <a:srgbClr val="000000"/>
                  </a:solidFill>
                  <a:latin typeface="Calibri"/>
                  <a:cs typeface="Calibri"/>
                </a:rPr>
                <a:t>AGREE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22</xdr:row>
          <xdr:rowOff>76200</xdr:rowOff>
        </xdr:from>
        <xdr:to>
          <xdr:col>3</xdr:col>
          <xdr:colOff>180975</xdr:colOff>
          <xdr:row>26</xdr:row>
          <xdr:rowOff>142875</xdr:rowOff>
        </xdr:to>
        <xdr:sp macro="" textlink="">
          <xdr:nvSpPr>
            <xdr:cNvPr id="18434" name="BackToHome" hidden="1">
              <a:extLst>
                <a:ext uri="{63B3BB69-23CF-44E3-9099-C40C66FF867C}">
                  <a14:compatExt spid="_x0000_s18434"/>
                </a:ext>
                <a:ext uri="{FF2B5EF4-FFF2-40B4-BE49-F238E27FC236}">
                  <a16:creationId xmlns:a16="http://schemas.microsoft.com/office/drawing/2014/main" id="{00000000-0008-0000-1300-000002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PH" sz="2200" b="1" i="0" u="none" strike="noStrike" baseline="0">
                  <a:solidFill>
                    <a:srgbClr val="000000"/>
                  </a:solidFill>
                  <a:latin typeface="Calibri"/>
                  <a:cs typeface="Calibri"/>
                </a:rPr>
                <a:t>DISAGREE</a:t>
              </a:r>
            </a:p>
          </xdr:txBody>
        </xdr:sp>
        <xdr:clientData fPrintsWithSheet="0"/>
      </xdr:twoCellAnchor>
    </mc:Choice>
    <mc:Fallback/>
  </mc:AlternateContent>
  <xdr:twoCellAnchor editAs="oneCell">
    <xdr:from>
      <xdr:col>10</xdr:col>
      <xdr:colOff>25207</xdr:colOff>
      <xdr:row>0</xdr:row>
      <xdr:rowOff>88900</xdr:rowOff>
    </xdr:from>
    <xdr:to>
      <xdr:col>11</xdr:col>
      <xdr:colOff>693585</xdr:colOff>
      <xdr:row>3</xdr:row>
      <xdr:rowOff>139700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88207" y="88900"/>
          <a:ext cx="1544678" cy="1041400"/>
        </a:xfrm>
        <a:prstGeom prst="rect">
          <a:avLst/>
        </a:prstGeom>
      </xdr:spPr>
    </xdr:pic>
    <xdr:clientData/>
  </xdr:twoCellAnchor>
  <xdr:twoCellAnchor editAs="oneCell">
    <xdr:from>
      <xdr:col>2</xdr:col>
      <xdr:colOff>177799</xdr:colOff>
      <xdr:row>0</xdr:row>
      <xdr:rowOff>164277</xdr:rowOff>
    </xdr:from>
    <xdr:to>
      <xdr:col>3</xdr:col>
      <xdr:colOff>760281</xdr:colOff>
      <xdr:row>2</xdr:row>
      <xdr:rowOff>229504</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30399" y="164277"/>
          <a:ext cx="1487357" cy="7510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962025</xdr:colOff>
          <xdr:row>133</xdr:row>
          <xdr:rowOff>104775</xdr:rowOff>
        </xdr:from>
        <xdr:to>
          <xdr:col>12</xdr:col>
          <xdr:colOff>295275</xdr:colOff>
          <xdr:row>136</xdr:row>
          <xdr:rowOff>76200</xdr:rowOff>
        </xdr:to>
        <xdr:sp macro="" textlink="">
          <xdr:nvSpPr>
            <xdr:cNvPr id="19486" name="BackToStart" hidden="1">
              <a:extLst>
                <a:ext uri="{63B3BB69-23CF-44E3-9099-C40C66FF867C}">
                  <a14:compatExt spid="_x0000_s19486"/>
                </a:ext>
                <a:ext uri="{FF2B5EF4-FFF2-40B4-BE49-F238E27FC236}">
                  <a16:creationId xmlns:a16="http://schemas.microsoft.com/office/drawing/2014/main" id="{00000000-0008-0000-1400-00001E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800" b="0" i="0" u="none" strike="noStrike" baseline="0">
                  <a:solidFill>
                    <a:srgbClr val="000000"/>
                  </a:solidFill>
                  <a:latin typeface="Calibri"/>
                  <a:cs typeface="Calibri"/>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66675</xdr:colOff>
          <xdr:row>133</xdr:row>
          <xdr:rowOff>104775</xdr:rowOff>
        </xdr:from>
        <xdr:to>
          <xdr:col>14</xdr:col>
          <xdr:colOff>1371600</xdr:colOff>
          <xdr:row>136</xdr:row>
          <xdr:rowOff>76200</xdr:rowOff>
        </xdr:to>
        <xdr:sp macro="" textlink="">
          <xdr:nvSpPr>
            <xdr:cNvPr id="19487" name="ToPart2" hidden="1">
              <a:extLst>
                <a:ext uri="{63B3BB69-23CF-44E3-9099-C40C66FF867C}">
                  <a14:compatExt spid="_x0000_s19487"/>
                </a:ext>
                <a:ext uri="{FF2B5EF4-FFF2-40B4-BE49-F238E27FC236}">
                  <a16:creationId xmlns:a16="http://schemas.microsoft.com/office/drawing/2014/main" id="{00000000-0008-0000-1400-00001F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800" b="1" i="0" u="none" strike="noStrike" baseline="0">
                  <a:solidFill>
                    <a:srgbClr val="000000"/>
                  </a:solidFill>
                  <a:latin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18</xdr:row>
          <xdr:rowOff>9525</xdr:rowOff>
        </xdr:from>
        <xdr:to>
          <xdr:col>9</xdr:col>
          <xdr:colOff>0</xdr:colOff>
          <xdr:row>25</xdr:row>
          <xdr:rowOff>9525</xdr:rowOff>
        </xdr:to>
        <xdr:sp macro="" textlink="">
          <xdr:nvSpPr>
            <xdr:cNvPr id="19559" name="elembox_01" hidden="1">
              <a:extLst>
                <a:ext uri="{63B3BB69-23CF-44E3-9099-C40C66FF867C}">
                  <a14:compatExt spid="_x0000_s19559"/>
                </a:ext>
                <a:ext uri="{FF2B5EF4-FFF2-40B4-BE49-F238E27FC236}">
                  <a16:creationId xmlns:a16="http://schemas.microsoft.com/office/drawing/2014/main" id="{00000000-0008-0000-1400-000067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19</xdr:row>
          <xdr:rowOff>9525</xdr:rowOff>
        </xdr:from>
        <xdr:to>
          <xdr:col>9</xdr:col>
          <xdr:colOff>0</xdr:colOff>
          <xdr:row>25</xdr:row>
          <xdr:rowOff>28575</xdr:rowOff>
        </xdr:to>
        <xdr:sp macro="" textlink="">
          <xdr:nvSpPr>
            <xdr:cNvPr id="19560" name="elembox_02" hidden="1">
              <a:extLst>
                <a:ext uri="{63B3BB69-23CF-44E3-9099-C40C66FF867C}">
                  <a14:compatExt spid="_x0000_s19560"/>
                </a:ext>
                <a:ext uri="{FF2B5EF4-FFF2-40B4-BE49-F238E27FC236}">
                  <a16:creationId xmlns:a16="http://schemas.microsoft.com/office/drawing/2014/main" id="{00000000-0008-0000-1400-000068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20</xdr:row>
          <xdr:rowOff>28575</xdr:rowOff>
        </xdr:from>
        <xdr:to>
          <xdr:col>9</xdr:col>
          <xdr:colOff>0</xdr:colOff>
          <xdr:row>25</xdr:row>
          <xdr:rowOff>28575</xdr:rowOff>
        </xdr:to>
        <xdr:sp macro="" textlink="">
          <xdr:nvSpPr>
            <xdr:cNvPr id="19561" name="elembox_03" hidden="1">
              <a:extLst>
                <a:ext uri="{63B3BB69-23CF-44E3-9099-C40C66FF867C}">
                  <a14:compatExt spid="_x0000_s19561"/>
                </a:ext>
                <a:ext uri="{FF2B5EF4-FFF2-40B4-BE49-F238E27FC236}">
                  <a16:creationId xmlns:a16="http://schemas.microsoft.com/office/drawing/2014/main" id="{00000000-0008-0000-1400-000069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21</xdr:row>
          <xdr:rowOff>28575</xdr:rowOff>
        </xdr:from>
        <xdr:to>
          <xdr:col>9</xdr:col>
          <xdr:colOff>0</xdr:colOff>
          <xdr:row>25</xdr:row>
          <xdr:rowOff>0</xdr:rowOff>
        </xdr:to>
        <xdr:sp macro="" textlink="">
          <xdr:nvSpPr>
            <xdr:cNvPr id="19562" name="elembox_04" hidden="1">
              <a:extLst>
                <a:ext uri="{63B3BB69-23CF-44E3-9099-C40C66FF867C}">
                  <a14:compatExt spid="_x0000_s19562"/>
                </a:ext>
                <a:ext uri="{FF2B5EF4-FFF2-40B4-BE49-F238E27FC236}">
                  <a16:creationId xmlns:a16="http://schemas.microsoft.com/office/drawing/2014/main" id="{00000000-0008-0000-1400-00006A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22</xdr:row>
          <xdr:rowOff>28575</xdr:rowOff>
        </xdr:from>
        <xdr:to>
          <xdr:col>9</xdr:col>
          <xdr:colOff>0</xdr:colOff>
          <xdr:row>25</xdr:row>
          <xdr:rowOff>28575</xdr:rowOff>
        </xdr:to>
        <xdr:sp macro="" textlink="">
          <xdr:nvSpPr>
            <xdr:cNvPr id="19563" name="elembox_05" hidden="1">
              <a:extLst>
                <a:ext uri="{63B3BB69-23CF-44E3-9099-C40C66FF867C}">
                  <a14:compatExt spid="_x0000_s19563"/>
                </a:ext>
                <a:ext uri="{FF2B5EF4-FFF2-40B4-BE49-F238E27FC236}">
                  <a16:creationId xmlns:a16="http://schemas.microsoft.com/office/drawing/2014/main" id="{00000000-0008-0000-1400-00006B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18</xdr:row>
          <xdr:rowOff>28575</xdr:rowOff>
        </xdr:from>
        <xdr:to>
          <xdr:col>14</xdr:col>
          <xdr:colOff>1095375</xdr:colOff>
          <xdr:row>25</xdr:row>
          <xdr:rowOff>0</xdr:rowOff>
        </xdr:to>
        <xdr:sp macro="" textlink="">
          <xdr:nvSpPr>
            <xdr:cNvPr id="19564" name="elembox_06" hidden="1">
              <a:extLst>
                <a:ext uri="{63B3BB69-23CF-44E3-9099-C40C66FF867C}">
                  <a14:compatExt spid="_x0000_s19564"/>
                </a:ext>
                <a:ext uri="{FF2B5EF4-FFF2-40B4-BE49-F238E27FC236}">
                  <a16:creationId xmlns:a16="http://schemas.microsoft.com/office/drawing/2014/main" id="{00000000-0008-0000-1400-00006C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19</xdr:row>
          <xdr:rowOff>28575</xdr:rowOff>
        </xdr:from>
        <xdr:to>
          <xdr:col>14</xdr:col>
          <xdr:colOff>1095375</xdr:colOff>
          <xdr:row>25</xdr:row>
          <xdr:rowOff>0</xdr:rowOff>
        </xdr:to>
        <xdr:sp macro="" textlink="">
          <xdr:nvSpPr>
            <xdr:cNvPr id="19565" name="elembox_07" hidden="1">
              <a:extLst>
                <a:ext uri="{63B3BB69-23CF-44E3-9099-C40C66FF867C}">
                  <a14:compatExt spid="_x0000_s19565"/>
                </a:ext>
                <a:ext uri="{FF2B5EF4-FFF2-40B4-BE49-F238E27FC236}">
                  <a16:creationId xmlns:a16="http://schemas.microsoft.com/office/drawing/2014/main" id="{00000000-0008-0000-1400-00006D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20</xdr:row>
          <xdr:rowOff>28575</xdr:rowOff>
        </xdr:from>
        <xdr:to>
          <xdr:col>14</xdr:col>
          <xdr:colOff>1095375</xdr:colOff>
          <xdr:row>25</xdr:row>
          <xdr:rowOff>9525</xdr:rowOff>
        </xdr:to>
        <xdr:sp macro="" textlink="">
          <xdr:nvSpPr>
            <xdr:cNvPr id="19566" name="elembox_08" hidden="1">
              <a:extLst>
                <a:ext uri="{63B3BB69-23CF-44E3-9099-C40C66FF867C}">
                  <a14:compatExt spid="_x0000_s19566"/>
                </a:ext>
                <a:ext uri="{FF2B5EF4-FFF2-40B4-BE49-F238E27FC236}">
                  <a16:creationId xmlns:a16="http://schemas.microsoft.com/office/drawing/2014/main" id="{00000000-0008-0000-1400-00006E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21</xdr:row>
          <xdr:rowOff>28575</xdr:rowOff>
        </xdr:from>
        <xdr:to>
          <xdr:col>14</xdr:col>
          <xdr:colOff>1095375</xdr:colOff>
          <xdr:row>24</xdr:row>
          <xdr:rowOff>180975</xdr:rowOff>
        </xdr:to>
        <xdr:sp macro="" textlink="">
          <xdr:nvSpPr>
            <xdr:cNvPr id="19567" name="elembox_09" hidden="1">
              <a:extLst>
                <a:ext uri="{63B3BB69-23CF-44E3-9099-C40C66FF867C}">
                  <a14:compatExt spid="_x0000_s19567"/>
                </a:ext>
                <a:ext uri="{FF2B5EF4-FFF2-40B4-BE49-F238E27FC236}">
                  <a16:creationId xmlns:a16="http://schemas.microsoft.com/office/drawing/2014/main" id="{00000000-0008-0000-1400-00006F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26</xdr:row>
          <xdr:rowOff>28575</xdr:rowOff>
        </xdr:from>
        <xdr:to>
          <xdr:col>9</xdr:col>
          <xdr:colOff>0</xdr:colOff>
          <xdr:row>26</xdr:row>
          <xdr:rowOff>228600</xdr:rowOff>
        </xdr:to>
        <xdr:sp macro="" textlink="">
          <xdr:nvSpPr>
            <xdr:cNvPr id="19569" name="jhsbox_01" hidden="1">
              <a:extLst>
                <a:ext uri="{63B3BB69-23CF-44E3-9099-C40C66FF867C}">
                  <a14:compatExt spid="_x0000_s19569"/>
                </a:ext>
                <a:ext uri="{FF2B5EF4-FFF2-40B4-BE49-F238E27FC236}">
                  <a16:creationId xmlns:a16="http://schemas.microsoft.com/office/drawing/2014/main" id="{00000000-0008-0000-1400-00007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27</xdr:row>
          <xdr:rowOff>28575</xdr:rowOff>
        </xdr:from>
        <xdr:to>
          <xdr:col>9</xdr:col>
          <xdr:colOff>0</xdr:colOff>
          <xdr:row>27</xdr:row>
          <xdr:rowOff>228600</xdr:rowOff>
        </xdr:to>
        <xdr:sp macro="" textlink="">
          <xdr:nvSpPr>
            <xdr:cNvPr id="19570" name="jhsbox_02" hidden="1">
              <a:extLst>
                <a:ext uri="{63B3BB69-23CF-44E3-9099-C40C66FF867C}">
                  <a14:compatExt spid="_x0000_s19570"/>
                </a:ext>
                <a:ext uri="{FF2B5EF4-FFF2-40B4-BE49-F238E27FC236}">
                  <a16:creationId xmlns:a16="http://schemas.microsoft.com/office/drawing/2014/main" id="{00000000-0008-0000-1400-00007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28</xdr:row>
          <xdr:rowOff>28575</xdr:rowOff>
        </xdr:from>
        <xdr:to>
          <xdr:col>9</xdr:col>
          <xdr:colOff>0</xdr:colOff>
          <xdr:row>28</xdr:row>
          <xdr:rowOff>228600</xdr:rowOff>
        </xdr:to>
        <xdr:sp macro="" textlink="">
          <xdr:nvSpPr>
            <xdr:cNvPr id="19571" name="jhsbox_03" hidden="1">
              <a:extLst>
                <a:ext uri="{63B3BB69-23CF-44E3-9099-C40C66FF867C}">
                  <a14:compatExt spid="_x0000_s19571"/>
                </a:ext>
                <a:ext uri="{FF2B5EF4-FFF2-40B4-BE49-F238E27FC236}">
                  <a16:creationId xmlns:a16="http://schemas.microsoft.com/office/drawing/2014/main" id="{00000000-0008-0000-1400-000073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26</xdr:row>
          <xdr:rowOff>28575</xdr:rowOff>
        </xdr:from>
        <xdr:to>
          <xdr:col>14</xdr:col>
          <xdr:colOff>1095375</xdr:colOff>
          <xdr:row>26</xdr:row>
          <xdr:rowOff>219075</xdr:rowOff>
        </xdr:to>
        <xdr:sp macro="" textlink="">
          <xdr:nvSpPr>
            <xdr:cNvPr id="19573" name="jhsbox_04" hidden="1">
              <a:extLst>
                <a:ext uri="{63B3BB69-23CF-44E3-9099-C40C66FF867C}">
                  <a14:compatExt spid="_x0000_s19573"/>
                </a:ext>
                <a:ext uri="{FF2B5EF4-FFF2-40B4-BE49-F238E27FC236}">
                  <a16:creationId xmlns:a16="http://schemas.microsoft.com/office/drawing/2014/main" id="{00000000-0008-0000-1400-000075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27</xdr:row>
          <xdr:rowOff>28575</xdr:rowOff>
        </xdr:from>
        <xdr:to>
          <xdr:col>14</xdr:col>
          <xdr:colOff>1095375</xdr:colOff>
          <xdr:row>27</xdr:row>
          <xdr:rowOff>228600</xdr:rowOff>
        </xdr:to>
        <xdr:sp macro="" textlink="">
          <xdr:nvSpPr>
            <xdr:cNvPr id="19574" name="jhsbox_05" hidden="1">
              <a:extLst>
                <a:ext uri="{63B3BB69-23CF-44E3-9099-C40C66FF867C}">
                  <a14:compatExt spid="_x0000_s19574"/>
                </a:ext>
                <a:ext uri="{FF2B5EF4-FFF2-40B4-BE49-F238E27FC236}">
                  <a16:creationId xmlns:a16="http://schemas.microsoft.com/office/drawing/2014/main" id="{00000000-0008-0000-1400-000076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28</xdr:row>
          <xdr:rowOff>28575</xdr:rowOff>
        </xdr:from>
        <xdr:to>
          <xdr:col>14</xdr:col>
          <xdr:colOff>1095375</xdr:colOff>
          <xdr:row>28</xdr:row>
          <xdr:rowOff>219075</xdr:rowOff>
        </xdr:to>
        <xdr:sp macro="" textlink="">
          <xdr:nvSpPr>
            <xdr:cNvPr id="19575" name="jhsbox_06" hidden="1">
              <a:extLst>
                <a:ext uri="{63B3BB69-23CF-44E3-9099-C40C66FF867C}">
                  <a14:compatExt spid="_x0000_s19575"/>
                </a:ext>
                <a:ext uri="{FF2B5EF4-FFF2-40B4-BE49-F238E27FC236}">
                  <a16:creationId xmlns:a16="http://schemas.microsoft.com/office/drawing/2014/main" id="{00000000-0008-0000-1400-000077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33</xdr:row>
          <xdr:rowOff>9525</xdr:rowOff>
        </xdr:from>
        <xdr:to>
          <xdr:col>9</xdr:col>
          <xdr:colOff>0</xdr:colOff>
          <xdr:row>36</xdr:row>
          <xdr:rowOff>228600</xdr:rowOff>
        </xdr:to>
        <xdr:sp macro="" textlink="">
          <xdr:nvSpPr>
            <xdr:cNvPr id="19577" name="shsbox_01" hidden="1">
              <a:extLst>
                <a:ext uri="{63B3BB69-23CF-44E3-9099-C40C66FF867C}">
                  <a14:compatExt spid="_x0000_s19577"/>
                </a:ext>
                <a:ext uri="{FF2B5EF4-FFF2-40B4-BE49-F238E27FC236}">
                  <a16:creationId xmlns:a16="http://schemas.microsoft.com/office/drawing/2014/main" id="{00000000-0008-0000-1400-000079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34</xdr:row>
          <xdr:rowOff>9525</xdr:rowOff>
        </xdr:from>
        <xdr:to>
          <xdr:col>9</xdr:col>
          <xdr:colOff>0</xdr:colOff>
          <xdr:row>36</xdr:row>
          <xdr:rowOff>228600</xdr:rowOff>
        </xdr:to>
        <xdr:sp macro="" textlink="">
          <xdr:nvSpPr>
            <xdr:cNvPr id="19578" name="shsbox_02" hidden="1">
              <a:extLst>
                <a:ext uri="{63B3BB69-23CF-44E3-9099-C40C66FF867C}">
                  <a14:compatExt spid="_x0000_s19578"/>
                </a:ext>
                <a:ext uri="{FF2B5EF4-FFF2-40B4-BE49-F238E27FC236}">
                  <a16:creationId xmlns:a16="http://schemas.microsoft.com/office/drawing/2014/main" id="{00000000-0008-0000-1400-00007A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33</xdr:row>
          <xdr:rowOff>9525</xdr:rowOff>
        </xdr:from>
        <xdr:to>
          <xdr:col>14</xdr:col>
          <xdr:colOff>1095375</xdr:colOff>
          <xdr:row>36</xdr:row>
          <xdr:rowOff>228600</xdr:rowOff>
        </xdr:to>
        <xdr:sp macro="" textlink="">
          <xdr:nvSpPr>
            <xdr:cNvPr id="19579" name="shsbox_03" hidden="1">
              <a:extLst>
                <a:ext uri="{63B3BB69-23CF-44E3-9099-C40C66FF867C}">
                  <a14:compatExt spid="_x0000_s19579"/>
                </a:ext>
                <a:ext uri="{FF2B5EF4-FFF2-40B4-BE49-F238E27FC236}">
                  <a16:creationId xmlns:a16="http://schemas.microsoft.com/office/drawing/2014/main" id="{00000000-0008-0000-1400-00007B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38</xdr:row>
          <xdr:rowOff>9525</xdr:rowOff>
        </xdr:from>
        <xdr:to>
          <xdr:col>9</xdr:col>
          <xdr:colOff>0</xdr:colOff>
          <xdr:row>38</xdr:row>
          <xdr:rowOff>238125</xdr:rowOff>
        </xdr:to>
        <xdr:sp macro="" textlink="">
          <xdr:nvSpPr>
            <xdr:cNvPr id="19580" name="specialization_01" hidden="1">
              <a:extLst>
                <a:ext uri="{63B3BB69-23CF-44E3-9099-C40C66FF867C}">
                  <a14:compatExt spid="_x0000_s19580"/>
                </a:ext>
                <a:ext uri="{FF2B5EF4-FFF2-40B4-BE49-F238E27FC236}">
                  <a16:creationId xmlns:a16="http://schemas.microsoft.com/office/drawing/2014/main" id="{00000000-0008-0000-1400-00007C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39</xdr:row>
          <xdr:rowOff>9525</xdr:rowOff>
        </xdr:from>
        <xdr:to>
          <xdr:col>9</xdr:col>
          <xdr:colOff>0</xdr:colOff>
          <xdr:row>39</xdr:row>
          <xdr:rowOff>238125</xdr:rowOff>
        </xdr:to>
        <xdr:sp macro="" textlink="">
          <xdr:nvSpPr>
            <xdr:cNvPr id="19581" name="specialization_02" hidden="1">
              <a:extLst>
                <a:ext uri="{63B3BB69-23CF-44E3-9099-C40C66FF867C}">
                  <a14:compatExt spid="_x0000_s19581"/>
                </a:ext>
                <a:ext uri="{FF2B5EF4-FFF2-40B4-BE49-F238E27FC236}">
                  <a16:creationId xmlns:a16="http://schemas.microsoft.com/office/drawing/2014/main" id="{00000000-0008-0000-1400-00007D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40</xdr:row>
          <xdr:rowOff>9525</xdr:rowOff>
        </xdr:from>
        <xdr:to>
          <xdr:col>9</xdr:col>
          <xdr:colOff>0</xdr:colOff>
          <xdr:row>40</xdr:row>
          <xdr:rowOff>238125</xdr:rowOff>
        </xdr:to>
        <xdr:sp macro="" textlink="">
          <xdr:nvSpPr>
            <xdr:cNvPr id="19582" name="specialization_03" hidden="1">
              <a:extLst>
                <a:ext uri="{63B3BB69-23CF-44E3-9099-C40C66FF867C}">
                  <a14:compatExt spid="_x0000_s19582"/>
                </a:ext>
                <a:ext uri="{FF2B5EF4-FFF2-40B4-BE49-F238E27FC236}">
                  <a16:creationId xmlns:a16="http://schemas.microsoft.com/office/drawing/2014/main" id="{00000000-0008-0000-1400-00007E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41</xdr:row>
          <xdr:rowOff>9525</xdr:rowOff>
        </xdr:from>
        <xdr:to>
          <xdr:col>9</xdr:col>
          <xdr:colOff>0</xdr:colOff>
          <xdr:row>41</xdr:row>
          <xdr:rowOff>238125</xdr:rowOff>
        </xdr:to>
        <xdr:sp macro="" textlink="">
          <xdr:nvSpPr>
            <xdr:cNvPr id="19583" name="specialization_04" hidden="1">
              <a:extLst>
                <a:ext uri="{63B3BB69-23CF-44E3-9099-C40C66FF867C}">
                  <a14:compatExt spid="_x0000_s19583"/>
                </a:ext>
                <a:ext uri="{FF2B5EF4-FFF2-40B4-BE49-F238E27FC236}">
                  <a16:creationId xmlns:a16="http://schemas.microsoft.com/office/drawing/2014/main" id="{00000000-0008-0000-1400-00007F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42</xdr:row>
          <xdr:rowOff>9525</xdr:rowOff>
        </xdr:from>
        <xdr:to>
          <xdr:col>9</xdr:col>
          <xdr:colOff>0</xdr:colOff>
          <xdr:row>42</xdr:row>
          <xdr:rowOff>238125</xdr:rowOff>
        </xdr:to>
        <xdr:sp macro="" textlink="">
          <xdr:nvSpPr>
            <xdr:cNvPr id="19584" name="specialization_05" hidden="1">
              <a:extLst>
                <a:ext uri="{63B3BB69-23CF-44E3-9099-C40C66FF867C}">
                  <a14:compatExt spid="_x0000_s19584"/>
                </a:ext>
                <a:ext uri="{FF2B5EF4-FFF2-40B4-BE49-F238E27FC236}">
                  <a16:creationId xmlns:a16="http://schemas.microsoft.com/office/drawing/2014/main" id="{00000000-0008-0000-1400-000080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43</xdr:row>
          <xdr:rowOff>9525</xdr:rowOff>
        </xdr:from>
        <xdr:to>
          <xdr:col>9</xdr:col>
          <xdr:colOff>0</xdr:colOff>
          <xdr:row>43</xdr:row>
          <xdr:rowOff>238125</xdr:rowOff>
        </xdr:to>
        <xdr:sp macro="" textlink="">
          <xdr:nvSpPr>
            <xdr:cNvPr id="19585" name="specialization_06" hidden="1">
              <a:extLst>
                <a:ext uri="{63B3BB69-23CF-44E3-9099-C40C66FF867C}">
                  <a14:compatExt spid="_x0000_s19585"/>
                </a:ext>
                <a:ext uri="{FF2B5EF4-FFF2-40B4-BE49-F238E27FC236}">
                  <a16:creationId xmlns:a16="http://schemas.microsoft.com/office/drawing/2014/main" id="{00000000-0008-0000-1400-00008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44</xdr:row>
          <xdr:rowOff>9525</xdr:rowOff>
        </xdr:from>
        <xdr:to>
          <xdr:col>9</xdr:col>
          <xdr:colOff>0</xdr:colOff>
          <xdr:row>44</xdr:row>
          <xdr:rowOff>238125</xdr:rowOff>
        </xdr:to>
        <xdr:sp macro="" textlink="">
          <xdr:nvSpPr>
            <xdr:cNvPr id="19586" name="specialization_07" hidden="1">
              <a:extLst>
                <a:ext uri="{63B3BB69-23CF-44E3-9099-C40C66FF867C}">
                  <a14:compatExt spid="_x0000_s19586"/>
                </a:ext>
                <a:ext uri="{FF2B5EF4-FFF2-40B4-BE49-F238E27FC236}">
                  <a16:creationId xmlns:a16="http://schemas.microsoft.com/office/drawing/2014/main" id="{00000000-0008-0000-1400-00008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45</xdr:row>
          <xdr:rowOff>9525</xdr:rowOff>
        </xdr:from>
        <xdr:to>
          <xdr:col>9</xdr:col>
          <xdr:colOff>0</xdr:colOff>
          <xdr:row>45</xdr:row>
          <xdr:rowOff>238125</xdr:rowOff>
        </xdr:to>
        <xdr:sp macro="" textlink="">
          <xdr:nvSpPr>
            <xdr:cNvPr id="19587" name="specialization_08" hidden="1">
              <a:extLst>
                <a:ext uri="{63B3BB69-23CF-44E3-9099-C40C66FF867C}">
                  <a14:compatExt spid="_x0000_s19587"/>
                </a:ext>
                <a:ext uri="{FF2B5EF4-FFF2-40B4-BE49-F238E27FC236}">
                  <a16:creationId xmlns:a16="http://schemas.microsoft.com/office/drawing/2014/main" id="{00000000-0008-0000-1400-000083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46</xdr:row>
          <xdr:rowOff>9525</xdr:rowOff>
        </xdr:from>
        <xdr:to>
          <xdr:col>9</xdr:col>
          <xdr:colOff>0</xdr:colOff>
          <xdr:row>46</xdr:row>
          <xdr:rowOff>238125</xdr:rowOff>
        </xdr:to>
        <xdr:sp macro="" textlink="">
          <xdr:nvSpPr>
            <xdr:cNvPr id="19588" name="specialization_09" hidden="1">
              <a:extLst>
                <a:ext uri="{63B3BB69-23CF-44E3-9099-C40C66FF867C}">
                  <a14:compatExt spid="_x0000_s19588"/>
                </a:ext>
                <a:ext uri="{FF2B5EF4-FFF2-40B4-BE49-F238E27FC236}">
                  <a16:creationId xmlns:a16="http://schemas.microsoft.com/office/drawing/2014/main" id="{00000000-0008-0000-1400-000084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38</xdr:row>
          <xdr:rowOff>9525</xdr:rowOff>
        </xdr:from>
        <xdr:to>
          <xdr:col>14</xdr:col>
          <xdr:colOff>1095375</xdr:colOff>
          <xdr:row>38</xdr:row>
          <xdr:rowOff>238125</xdr:rowOff>
        </xdr:to>
        <xdr:sp macro="" textlink="">
          <xdr:nvSpPr>
            <xdr:cNvPr id="19589" name="specialization_10" hidden="1">
              <a:extLst>
                <a:ext uri="{63B3BB69-23CF-44E3-9099-C40C66FF867C}">
                  <a14:compatExt spid="_x0000_s19589"/>
                </a:ext>
                <a:ext uri="{FF2B5EF4-FFF2-40B4-BE49-F238E27FC236}">
                  <a16:creationId xmlns:a16="http://schemas.microsoft.com/office/drawing/2014/main" id="{00000000-0008-0000-1400-000085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39</xdr:row>
          <xdr:rowOff>9525</xdr:rowOff>
        </xdr:from>
        <xdr:to>
          <xdr:col>14</xdr:col>
          <xdr:colOff>1095375</xdr:colOff>
          <xdr:row>39</xdr:row>
          <xdr:rowOff>238125</xdr:rowOff>
        </xdr:to>
        <xdr:sp macro="" textlink="">
          <xdr:nvSpPr>
            <xdr:cNvPr id="19590" name="specialization_11" hidden="1">
              <a:extLst>
                <a:ext uri="{63B3BB69-23CF-44E3-9099-C40C66FF867C}">
                  <a14:compatExt spid="_x0000_s19590"/>
                </a:ext>
                <a:ext uri="{FF2B5EF4-FFF2-40B4-BE49-F238E27FC236}">
                  <a16:creationId xmlns:a16="http://schemas.microsoft.com/office/drawing/2014/main" id="{00000000-0008-0000-1400-000086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40</xdr:row>
          <xdr:rowOff>9525</xdr:rowOff>
        </xdr:from>
        <xdr:to>
          <xdr:col>14</xdr:col>
          <xdr:colOff>1095375</xdr:colOff>
          <xdr:row>40</xdr:row>
          <xdr:rowOff>238125</xdr:rowOff>
        </xdr:to>
        <xdr:sp macro="" textlink="">
          <xdr:nvSpPr>
            <xdr:cNvPr id="19591" name="specialization_12" hidden="1">
              <a:extLst>
                <a:ext uri="{63B3BB69-23CF-44E3-9099-C40C66FF867C}">
                  <a14:compatExt spid="_x0000_s19591"/>
                </a:ext>
                <a:ext uri="{FF2B5EF4-FFF2-40B4-BE49-F238E27FC236}">
                  <a16:creationId xmlns:a16="http://schemas.microsoft.com/office/drawing/2014/main" id="{00000000-0008-0000-1400-000087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41</xdr:row>
          <xdr:rowOff>9525</xdr:rowOff>
        </xdr:from>
        <xdr:to>
          <xdr:col>14</xdr:col>
          <xdr:colOff>1095375</xdr:colOff>
          <xdr:row>41</xdr:row>
          <xdr:rowOff>238125</xdr:rowOff>
        </xdr:to>
        <xdr:sp macro="" textlink="">
          <xdr:nvSpPr>
            <xdr:cNvPr id="19592" name="specialization_13" hidden="1">
              <a:extLst>
                <a:ext uri="{63B3BB69-23CF-44E3-9099-C40C66FF867C}">
                  <a14:compatExt spid="_x0000_s19592"/>
                </a:ext>
                <a:ext uri="{FF2B5EF4-FFF2-40B4-BE49-F238E27FC236}">
                  <a16:creationId xmlns:a16="http://schemas.microsoft.com/office/drawing/2014/main" id="{00000000-0008-0000-1400-000088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42</xdr:row>
          <xdr:rowOff>9525</xdr:rowOff>
        </xdr:from>
        <xdr:to>
          <xdr:col>14</xdr:col>
          <xdr:colOff>1095375</xdr:colOff>
          <xdr:row>42</xdr:row>
          <xdr:rowOff>238125</xdr:rowOff>
        </xdr:to>
        <xdr:sp macro="" textlink="">
          <xdr:nvSpPr>
            <xdr:cNvPr id="19593" name="specialization_14" hidden="1">
              <a:extLst>
                <a:ext uri="{63B3BB69-23CF-44E3-9099-C40C66FF867C}">
                  <a14:compatExt spid="_x0000_s19593"/>
                </a:ext>
                <a:ext uri="{FF2B5EF4-FFF2-40B4-BE49-F238E27FC236}">
                  <a16:creationId xmlns:a16="http://schemas.microsoft.com/office/drawing/2014/main" id="{00000000-0008-0000-1400-000089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43</xdr:row>
          <xdr:rowOff>9525</xdr:rowOff>
        </xdr:from>
        <xdr:to>
          <xdr:col>14</xdr:col>
          <xdr:colOff>1095375</xdr:colOff>
          <xdr:row>43</xdr:row>
          <xdr:rowOff>238125</xdr:rowOff>
        </xdr:to>
        <xdr:sp macro="" textlink="">
          <xdr:nvSpPr>
            <xdr:cNvPr id="19594" name="specialization_15" hidden="1">
              <a:extLst>
                <a:ext uri="{63B3BB69-23CF-44E3-9099-C40C66FF867C}">
                  <a14:compatExt spid="_x0000_s19594"/>
                </a:ext>
                <a:ext uri="{FF2B5EF4-FFF2-40B4-BE49-F238E27FC236}">
                  <a16:creationId xmlns:a16="http://schemas.microsoft.com/office/drawing/2014/main" id="{00000000-0008-0000-1400-00008A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44</xdr:row>
          <xdr:rowOff>9525</xdr:rowOff>
        </xdr:from>
        <xdr:to>
          <xdr:col>14</xdr:col>
          <xdr:colOff>1095375</xdr:colOff>
          <xdr:row>44</xdr:row>
          <xdr:rowOff>238125</xdr:rowOff>
        </xdr:to>
        <xdr:sp macro="" textlink="">
          <xdr:nvSpPr>
            <xdr:cNvPr id="19595" name="specialization_16" hidden="1">
              <a:extLst>
                <a:ext uri="{63B3BB69-23CF-44E3-9099-C40C66FF867C}">
                  <a14:compatExt spid="_x0000_s19595"/>
                </a:ext>
                <a:ext uri="{FF2B5EF4-FFF2-40B4-BE49-F238E27FC236}">
                  <a16:creationId xmlns:a16="http://schemas.microsoft.com/office/drawing/2014/main" id="{00000000-0008-0000-1400-00008B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45</xdr:row>
          <xdr:rowOff>9525</xdr:rowOff>
        </xdr:from>
        <xdr:to>
          <xdr:col>14</xdr:col>
          <xdr:colOff>1095375</xdr:colOff>
          <xdr:row>45</xdr:row>
          <xdr:rowOff>238125</xdr:rowOff>
        </xdr:to>
        <xdr:sp macro="" textlink="">
          <xdr:nvSpPr>
            <xdr:cNvPr id="19596" name="specialization_17" hidden="1">
              <a:extLst>
                <a:ext uri="{63B3BB69-23CF-44E3-9099-C40C66FF867C}">
                  <a14:compatExt spid="_x0000_s19596"/>
                </a:ext>
                <a:ext uri="{FF2B5EF4-FFF2-40B4-BE49-F238E27FC236}">
                  <a16:creationId xmlns:a16="http://schemas.microsoft.com/office/drawing/2014/main" id="{00000000-0008-0000-1400-00008C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50</xdr:row>
          <xdr:rowOff>9525</xdr:rowOff>
        </xdr:from>
        <xdr:to>
          <xdr:col>9</xdr:col>
          <xdr:colOff>0</xdr:colOff>
          <xdr:row>50</xdr:row>
          <xdr:rowOff>238125</xdr:rowOff>
        </xdr:to>
        <xdr:sp macro="" textlink="">
          <xdr:nvSpPr>
            <xdr:cNvPr id="19597" name="subjectsbox_01" hidden="1">
              <a:extLst>
                <a:ext uri="{63B3BB69-23CF-44E3-9099-C40C66FF867C}">
                  <a14:compatExt spid="_x0000_s19597"/>
                </a:ext>
                <a:ext uri="{FF2B5EF4-FFF2-40B4-BE49-F238E27FC236}">
                  <a16:creationId xmlns:a16="http://schemas.microsoft.com/office/drawing/2014/main" id="{00000000-0008-0000-1400-00008D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51</xdr:row>
          <xdr:rowOff>9525</xdr:rowOff>
        </xdr:from>
        <xdr:to>
          <xdr:col>9</xdr:col>
          <xdr:colOff>0</xdr:colOff>
          <xdr:row>51</xdr:row>
          <xdr:rowOff>238125</xdr:rowOff>
        </xdr:to>
        <xdr:sp macro="" textlink="">
          <xdr:nvSpPr>
            <xdr:cNvPr id="19598" name="subjectsbox_02" hidden="1">
              <a:extLst>
                <a:ext uri="{63B3BB69-23CF-44E3-9099-C40C66FF867C}">
                  <a14:compatExt spid="_x0000_s19598"/>
                </a:ext>
                <a:ext uri="{FF2B5EF4-FFF2-40B4-BE49-F238E27FC236}">
                  <a16:creationId xmlns:a16="http://schemas.microsoft.com/office/drawing/2014/main" id="{00000000-0008-0000-1400-00008E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52</xdr:row>
          <xdr:rowOff>9525</xdr:rowOff>
        </xdr:from>
        <xdr:to>
          <xdr:col>9</xdr:col>
          <xdr:colOff>0</xdr:colOff>
          <xdr:row>52</xdr:row>
          <xdr:rowOff>238125</xdr:rowOff>
        </xdr:to>
        <xdr:sp macro="" textlink="">
          <xdr:nvSpPr>
            <xdr:cNvPr id="19599" name="subjectsbox_03" hidden="1">
              <a:extLst>
                <a:ext uri="{63B3BB69-23CF-44E3-9099-C40C66FF867C}">
                  <a14:compatExt spid="_x0000_s19599"/>
                </a:ext>
                <a:ext uri="{FF2B5EF4-FFF2-40B4-BE49-F238E27FC236}">
                  <a16:creationId xmlns:a16="http://schemas.microsoft.com/office/drawing/2014/main" id="{00000000-0008-0000-1400-00008F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53</xdr:row>
          <xdr:rowOff>9525</xdr:rowOff>
        </xdr:from>
        <xdr:to>
          <xdr:col>9</xdr:col>
          <xdr:colOff>0</xdr:colOff>
          <xdr:row>53</xdr:row>
          <xdr:rowOff>238125</xdr:rowOff>
        </xdr:to>
        <xdr:sp macro="" textlink="">
          <xdr:nvSpPr>
            <xdr:cNvPr id="19600" name="subjectsbox_04" hidden="1">
              <a:extLst>
                <a:ext uri="{63B3BB69-23CF-44E3-9099-C40C66FF867C}">
                  <a14:compatExt spid="_x0000_s19600"/>
                </a:ext>
                <a:ext uri="{FF2B5EF4-FFF2-40B4-BE49-F238E27FC236}">
                  <a16:creationId xmlns:a16="http://schemas.microsoft.com/office/drawing/2014/main" id="{00000000-0008-0000-1400-000090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54</xdr:row>
          <xdr:rowOff>9525</xdr:rowOff>
        </xdr:from>
        <xdr:to>
          <xdr:col>9</xdr:col>
          <xdr:colOff>0</xdr:colOff>
          <xdr:row>54</xdr:row>
          <xdr:rowOff>238125</xdr:rowOff>
        </xdr:to>
        <xdr:sp macro="" textlink="">
          <xdr:nvSpPr>
            <xdr:cNvPr id="19601" name="subjectsbox_05" hidden="1">
              <a:extLst>
                <a:ext uri="{63B3BB69-23CF-44E3-9099-C40C66FF867C}">
                  <a14:compatExt spid="_x0000_s19601"/>
                </a:ext>
                <a:ext uri="{FF2B5EF4-FFF2-40B4-BE49-F238E27FC236}">
                  <a16:creationId xmlns:a16="http://schemas.microsoft.com/office/drawing/2014/main" id="{00000000-0008-0000-1400-00009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55</xdr:row>
          <xdr:rowOff>9525</xdr:rowOff>
        </xdr:from>
        <xdr:to>
          <xdr:col>9</xdr:col>
          <xdr:colOff>0</xdr:colOff>
          <xdr:row>55</xdr:row>
          <xdr:rowOff>238125</xdr:rowOff>
        </xdr:to>
        <xdr:sp macro="" textlink="">
          <xdr:nvSpPr>
            <xdr:cNvPr id="19602" name="subjectsbox_06" hidden="1">
              <a:extLst>
                <a:ext uri="{63B3BB69-23CF-44E3-9099-C40C66FF867C}">
                  <a14:compatExt spid="_x0000_s19602"/>
                </a:ext>
                <a:ext uri="{FF2B5EF4-FFF2-40B4-BE49-F238E27FC236}">
                  <a16:creationId xmlns:a16="http://schemas.microsoft.com/office/drawing/2014/main" id="{00000000-0008-0000-1400-00009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56</xdr:row>
          <xdr:rowOff>9525</xdr:rowOff>
        </xdr:from>
        <xdr:to>
          <xdr:col>9</xdr:col>
          <xdr:colOff>0</xdr:colOff>
          <xdr:row>56</xdr:row>
          <xdr:rowOff>238125</xdr:rowOff>
        </xdr:to>
        <xdr:sp macro="" textlink="">
          <xdr:nvSpPr>
            <xdr:cNvPr id="19603" name="subjectsbox_07" hidden="1">
              <a:extLst>
                <a:ext uri="{63B3BB69-23CF-44E3-9099-C40C66FF867C}">
                  <a14:compatExt spid="_x0000_s19603"/>
                </a:ext>
                <a:ext uri="{FF2B5EF4-FFF2-40B4-BE49-F238E27FC236}">
                  <a16:creationId xmlns:a16="http://schemas.microsoft.com/office/drawing/2014/main" id="{00000000-0008-0000-1400-000093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57</xdr:row>
          <xdr:rowOff>9525</xdr:rowOff>
        </xdr:from>
        <xdr:to>
          <xdr:col>9</xdr:col>
          <xdr:colOff>0</xdr:colOff>
          <xdr:row>57</xdr:row>
          <xdr:rowOff>238125</xdr:rowOff>
        </xdr:to>
        <xdr:sp macro="" textlink="">
          <xdr:nvSpPr>
            <xdr:cNvPr id="19604" name="subjectsbox_08" hidden="1">
              <a:extLst>
                <a:ext uri="{63B3BB69-23CF-44E3-9099-C40C66FF867C}">
                  <a14:compatExt spid="_x0000_s19604"/>
                </a:ext>
                <a:ext uri="{FF2B5EF4-FFF2-40B4-BE49-F238E27FC236}">
                  <a16:creationId xmlns:a16="http://schemas.microsoft.com/office/drawing/2014/main" id="{00000000-0008-0000-1400-000094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58</xdr:row>
          <xdr:rowOff>9525</xdr:rowOff>
        </xdr:from>
        <xdr:to>
          <xdr:col>9</xdr:col>
          <xdr:colOff>0</xdr:colOff>
          <xdr:row>58</xdr:row>
          <xdr:rowOff>238125</xdr:rowOff>
        </xdr:to>
        <xdr:sp macro="" textlink="">
          <xdr:nvSpPr>
            <xdr:cNvPr id="19605" name="subjectsbox_09" hidden="1">
              <a:extLst>
                <a:ext uri="{63B3BB69-23CF-44E3-9099-C40C66FF867C}">
                  <a14:compatExt spid="_x0000_s19605"/>
                </a:ext>
                <a:ext uri="{FF2B5EF4-FFF2-40B4-BE49-F238E27FC236}">
                  <a16:creationId xmlns:a16="http://schemas.microsoft.com/office/drawing/2014/main" id="{00000000-0008-0000-1400-000095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59</xdr:row>
          <xdr:rowOff>9525</xdr:rowOff>
        </xdr:from>
        <xdr:to>
          <xdr:col>9</xdr:col>
          <xdr:colOff>0</xdr:colOff>
          <xdr:row>59</xdr:row>
          <xdr:rowOff>238125</xdr:rowOff>
        </xdr:to>
        <xdr:sp macro="" textlink="">
          <xdr:nvSpPr>
            <xdr:cNvPr id="19606" name="subjectsbox_10" hidden="1">
              <a:extLst>
                <a:ext uri="{63B3BB69-23CF-44E3-9099-C40C66FF867C}">
                  <a14:compatExt spid="_x0000_s19606"/>
                </a:ext>
                <a:ext uri="{FF2B5EF4-FFF2-40B4-BE49-F238E27FC236}">
                  <a16:creationId xmlns:a16="http://schemas.microsoft.com/office/drawing/2014/main" id="{00000000-0008-0000-1400-000096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60</xdr:row>
          <xdr:rowOff>9525</xdr:rowOff>
        </xdr:from>
        <xdr:to>
          <xdr:col>9</xdr:col>
          <xdr:colOff>0</xdr:colOff>
          <xdr:row>60</xdr:row>
          <xdr:rowOff>238125</xdr:rowOff>
        </xdr:to>
        <xdr:sp macro="" textlink="">
          <xdr:nvSpPr>
            <xdr:cNvPr id="19607" name="subjectsbox_11" hidden="1">
              <a:extLst>
                <a:ext uri="{63B3BB69-23CF-44E3-9099-C40C66FF867C}">
                  <a14:compatExt spid="_x0000_s19607"/>
                </a:ext>
                <a:ext uri="{FF2B5EF4-FFF2-40B4-BE49-F238E27FC236}">
                  <a16:creationId xmlns:a16="http://schemas.microsoft.com/office/drawing/2014/main" id="{00000000-0008-0000-1400-000097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50</xdr:row>
          <xdr:rowOff>9525</xdr:rowOff>
        </xdr:from>
        <xdr:to>
          <xdr:col>14</xdr:col>
          <xdr:colOff>1095375</xdr:colOff>
          <xdr:row>50</xdr:row>
          <xdr:rowOff>238125</xdr:rowOff>
        </xdr:to>
        <xdr:sp macro="" textlink="">
          <xdr:nvSpPr>
            <xdr:cNvPr id="19608" name="subjectsbox_12" hidden="1">
              <a:extLst>
                <a:ext uri="{63B3BB69-23CF-44E3-9099-C40C66FF867C}">
                  <a14:compatExt spid="_x0000_s19608"/>
                </a:ext>
                <a:ext uri="{FF2B5EF4-FFF2-40B4-BE49-F238E27FC236}">
                  <a16:creationId xmlns:a16="http://schemas.microsoft.com/office/drawing/2014/main" id="{00000000-0008-0000-1400-000098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51</xdr:row>
          <xdr:rowOff>9525</xdr:rowOff>
        </xdr:from>
        <xdr:to>
          <xdr:col>14</xdr:col>
          <xdr:colOff>1095375</xdr:colOff>
          <xdr:row>51</xdr:row>
          <xdr:rowOff>238125</xdr:rowOff>
        </xdr:to>
        <xdr:sp macro="" textlink="">
          <xdr:nvSpPr>
            <xdr:cNvPr id="19609" name="subjectsbox_13" hidden="1">
              <a:extLst>
                <a:ext uri="{63B3BB69-23CF-44E3-9099-C40C66FF867C}">
                  <a14:compatExt spid="_x0000_s19609"/>
                </a:ext>
                <a:ext uri="{FF2B5EF4-FFF2-40B4-BE49-F238E27FC236}">
                  <a16:creationId xmlns:a16="http://schemas.microsoft.com/office/drawing/2014/main" id="{00000000-0008-0000-1400-000099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52</xdr:row>
          <xdr:rowOff>9525</xdr:rowOff>
        </xdr:from>
        <xdr:to>
          <xdr:col>14</xdr:col>
          <xdr:colOff>1095375</xdr:colOff>
          <xdr:row>52</xdr:row>
          <xdr:rowOff>238125</xdr:rowOff>
        </xdr:to>
        <xdr:sp macro="" textlink="">
          <xdr:nvSpPr>
            <xdr:cNvPr id="19610" name="subjectsbox_14" hidden="1">
              <a:extLst>
                <a:ext uri="{63B3BB69-23CF-44E3-9099-C40C66FF867C}">
                  <a14:compatExt spid="_x0000_s19610"/>
                </a:ext>
                <a:ext uri="{FF2B5EF4-FFF2-40B4-BE49-F238E27FC236}">
                  <a16:creationId xmlns:a16="http://schemas.microsoft.com/office/drawing/2014/main" id="{00000000-0008-0000-1400-00009A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53</xdr:row>
          <xdr:rowOff>9525</xdr:rowOff>
        </xdr:from>
        <xdr:to>
          <xdr:col>14</xdr:col>
          <xdr:colOff>1095375</xdr:colOff>
          <xdr:row>53</xdr:row>
          <xdr:rowOff>238125</xdr:rowOff>
        </xdr:to>
        <xdr:sp macro="" textlink="">
          <xdr:nvSpPr>
            <xdr:cNvPr id="19611" name="subjectsbox_15" hidden="1">
              <a:extLst>
                <a:ext uri="{63B3BB69-23CF-44E3-9099-C40C66FF867C}">
                  <a14:compatExt spid="_x0000_s19611"/>
                </a:ext>
                <a:ext uri="{FF2B5EF4-FFF2-40B4-BE49-F238E27FC236}">
                  <a16:creationId xmlns:a16="http://schemas.microsoft.com/office/drawing/2014/main" id="{00000000-0008-0000-1400-00009B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54</xdr:row>
          <xdr:rowOff>9525</xdr:rowOff>
        </xdr:from>
        <xdr:to>
          <xdr:col>14</xdr:col>
          <xdr:colOff>1095375</xdr:colOff>
          <xdr:row>54</xdr:row>
          <xdr:rowOff>238125</xdr:rowOff>
        </xdr:to>
        <xdr:sp macro="" textlink="">
          <xdr:nvSpPr>
            <xdr:cNvPr id="19612" name="subjectsbox_16" hidden="1">
              <a:extLst>
                <a:ext uri="{63B3BB69-23CF-44E3-9099-C40C66FF867C}">
                  <a14:compatExt spid="_x0000_s19612"/>
                </a:ext>
                <a:ext uri="{FF2B5EF4-FFF2-40B4-BE49-F238E27FC236}">
                  <a16:creationId xmlns:a16="http://schemas.microsoft.com/office/drawing/2014/main" id="{00000000-0008-0000-1400-00009C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55</xdr:row>
          <xdr:rowOff>9525</xdr:rowOff>
        </xdr:from>
        <xdr:to>
          <xdr:col>14</xdr:col>
          <xdr:colOff>1095375</xdr:colOff>
          <xdr:row>55</xdr:row>
          <xdr:rowOff>238125</xdr:rowOff>
        </xdr:to>
        <xdr:sp macro="" textlink="">
          <xdr:nvSpPr>
            <xdr:cNvPr id="19613" name="subjectsbox_17" hidden="1">
              <a:extLst>
                <a:ext uri="{63B3BB69-23CF-44E3-9099-C40C66FF867C}">
                  <a14:compatExt spid="_x0000_s19613"/>
                </a:ext>
                <a:ext uri="{FF2B5EF4-FFF2-40B4-BE49-F238E27FC236}">
                  <a16:creationId xmlns:a16="http://schemas.microsoft.com/office/drawing/2014/main" id="{00000000-0008-0000-1400-00009D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56</xdr:row>
          <xdr:rowOff>9525</xdr:rowOff>
        </xdr:from>
        <xdr:to>
          <xdr:col>14</xdr:col>
          <xdr:colOff>1095375</xdr:colOff>
          <xdr:row>56</xdr:row>
          <xdr:rowOff>238125</xdr:rowOff>
        </xdr:to>
        <xdr:sp macro="" textlink="">
          <xdr:nvSpPr>
            <xdr:cNvPr id="19614" name="subjectsbox_18" hidden="1">
              <a:extLst>
                <a:ext uri="{63B3BB69-23CF-44E3-9099-C40C66FF867C}">
                  <a14:compatExt spid="_x0000_s19614"/>
                </a:ext>
                <a:ext uri="{FF2B5EF4-FFF2-40B4-BE49-F238E27FC236}">
                  <a16:creationId xmlns:a16="http://schemas.microsoft.com/office/drawing/2014/main" id="{00000000-0008-0000-1400-00009E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57</xdr:row>
          <xdr:rowOff>9525</xdr:rowOff>
        </xdr:from>
        <xdr:to>
          <xdr:col>14</xdr:col>
          <xdr:colOff>1095375</xdr:colOff>
          <xdr:row>57</xdr:row>
          <xdr:rowOff>238125</xdr:rowOff>
        </xdr:to>
        <xdr:sp macro="" textlink="">
          <xdr:nvSpPr>
            <xdr:cNvPr id="19615" name="subjectsbox_19" hidden="1">
              <a:extLst>
                <a:ext uri="{63B3BB69-23CF-44E3-9099-C40C66FF867C}">
                  <a14:compatExt spid="_x0000_s19615"/>
                </a:ext>
                <a:ext uri="{FF2B5EF4-FFF2-40B4-BE49-F238E27FC236}">
                  <a16:creationId xmlns:a16="http://schemas.microsoft.com/office/drawing/2014/main" id="{00000000-0008-0000-1400-00009F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59</xdr:row>
          <xdr:rowOff>9525</xdr:rowOff>
        </xdr:from>
        <xdr:to>
          <xdr:col>14</xdr:col>
          <xdr:colOff>1095375</xdr:colOff>
          <xdr:row>59</xdr:row>
          <xdr:rowOff>238125</xdr:rowOff>
        </xdr:to>
        <xdr:sp macro="" textlink="">
          <xdr:nvSpPr>
            <xdr:cNvPr id="19616" name="subjectsbox_20" hidden="1">
              <a:extLst>
                <a:ext uri="{63B3BB69-23CF-44E3-9099-C40C66FF867C}">
                  <a14:compatExt spid="_x0000_s19616"/>
                </a:ext>
                <a:ext uri="{FF2B5EF4-FFF2-40B4-BE49-F238E27FC236}">
                  <a16:creationId xmlns:a16="http://schemas.microsoft.com/office/drawing/2014/main" id="{00000000-0008-0000-1400-0000A0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64</xdr:row>
          <xdr:rowOff>9525</xdr:rowOff>
        </xdr:from>
        <xdr:to>
          <xdr:col>9</xdr:col>
          <xdr:colOff>0</xdr:colOff>
          <xdr:row>133</xdr:row>
          <xdr:rowOff>38100</xdr:rowOff>
        </xdr:to>
        <xdr:sp macro="" textlink="">
          <xdr:nvSpPr>
            <xdr:cNvPr id="19617" name="strandsbox_01" hidden="1">
              <a:extLst>
                <a:ext uri="{63B3BB69-23CF-44E3-9099-C40C66FF867C}">
                  <a14:compatExt spid="_x0000_s19617"/>
                </a:ext>
                <a:ext uri="{FF2B5EF4-FFF2-40B4-BE49-F238E27FC236}">
                  <a16:creationId xmlns:a16="http://schemas.microsoft.com/office/drawing/2014/main" id="{00000000-0008-0000-1400-0000A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65</xdr:row>
          <xdr:rowOff>9525</xdr:rowOff>
        </xdr:from>
        <xdr:to>
          <xdr:col>9</xdr:col>
          <xdr:colOff>0</xdr:colOff>
          <xdr:row>133</xdr:row>
          <xdr:rowOff>38100</xdr:rowOff>
        </xdr:to>
        <xdr:sp macro="" textlink="">
          <xdr:nvSpPr>
            <xdr:cNvPr id="19618" name="strandsbox_02" hidden="1">
              <a:extLst>
                <a:ext uri="{63B3BB69-23CF-44E3-9099-C40C66FF867C}">
                  <a14:compatExt spid="_x0000_s19618"/>
                </a:ext>
                <a:ext uri="{FF2B5EF4-FFF2-40B4-BE49-F238E27FC236}">
                  <a16:creationId xmlns:a16="http://schemas.microsoft.com/office/drawing/2014/main" id="{00000000-0008-0000-1400-0000A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66</xdr:row>
          <xdr:rowOff>9525</xdr:rowOff>
        </xdr:from>
        <xdr:to>
          <xdr:col>9</xdr:col>
          <xdr:colOff>0</xdr:colOff>
          <xdr:row>133</xdr:row>
          <xdr:rowOff>38100</xdr:rowOff>
        </xdr:to>
        <xdr:sp macro="" textlink="">
          <xdr:nvSpPr>
            <xdr:cNvPr id="19619" name="strandsbox_03" hidden="1">
              <a:extLst>
                <a:ext uri="{63B3BB69-23CF-44E3-9099-C40C66FF867C}">
                  <a14:compatExt spid="_x0000_s19619"/>
                </a:ext>
                <a:ext uri="{FF2B5EF4-FFF2-40B4-BE49-F238E27FC236}">
                  <a16:creationId xmlns:a16="http://schemas.microsoft.com/office/drawing/2014/main" id="{00000000-0008-0000-1400-0000A3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67</xdr:row>
          <xdr:rowOff>9525</xdr:rowOff>
        </xdr:from>
        <xdr:to>
          <xdr:col>9</xdr:col>
          <xdr:colOff>0</xdr:colOff>
          <xdr:row>133</xdr:row>
          <xdr:rowOff>38100</xdr:rowOff>
        </xdr:to>
        <xdr:sp macro="" textlink="">
          <xdr:nvSpPr>
            <xdr:cNvPr id="19620" name="strandsbox_04" hidden="1">
              <a:extLst>
                <a:ext uri="{63B3BB69-23CF-44E3-9099-C40C66FF867C}">
                  <a14:compatExt spid="_x0000_s19620"/>
                </a:ext>
                <a:ext uri="{FF2B5EF4-FFF2-40B4-BE49-F238E27FC236}">
                  <a16:creationId xmlns:a16="http://schemas.microsoft.com/office/drawing/2014/main" id="{00000000-0008-0000-1400-0000A4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68</xdr:row>
          <xdr:rowOff>9525</xdr:rowOff>
        </xdr:from>
        <xdr:to>
          <xdr:col>9</xdr:col>
          <xdr:colOff>0</xdr:colOff>
          <xdr:row>133</xdr:row>
          <xdr:rowOff>38100</xdr:rowOff>
        </xdr:to>
        <xdr:sp macro="" textlink="">
          <xdr:nvSpPr>
            <xdr:cNvPr id="19621" name="strandsbox_05" hidden="1">
              <a:extLst>
                <a:ext uri="{63B3BB69-23CF-44E3-9099-C40C66FF867C}">
                  <a14:compatExt spid="_x0000_s19621"/>
                </a:ext>
                <a:ext uri="{FF2B5EF4-FFF2-40B4-BE49-F238E27FC236}">
                  <a16:creationId xmlns:a16="http://schemas.microsoft.com/office/drawing/2014/main" id="{00000000-0008-0000-1400-0000A5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69</xdr:row>
          <xdr:rowOff>9525</xdr:rowOff>
        </xdr:from>
        <xdr:to>
          <xdr:col>9</xdr:col>
          <xdr:colOff>0</xdr:colOff>
          <xdr:row>133</xdr:row>
          <xdr:rowOff>38100</xdr:rowOff>
        </xdr:to>
        <xdr:sp macro="" textlink="">
          <xdr:nvSpPr>
            <xdr:cNvPr id="19622" name="strandsbox_06" hidden="1">
              <a:extLst>
                <a:ext uri="{63B3BB69-23CF-44E3-9099-C40C66FF867C}">
                  <a14:compatExt spid="_x0000_s19622"/>
                </a:ext>
                <a:ext uri="{FF2B5EF4-FFF2-40B4-BE49-F238E27FC236}">
                  <a16:creationId xmlns:a16="http://schemas.microsoft.com/office/drawing/2014/main" id="{00000000-0008-0000-1400-0000A6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64</xdr:row>
          <xdr:rowOff>9525</xdr:rowOff>
        </xdr:from>
        <xdr:to>
          <xdr:col>14</xdr:col>
          <xdr:colOff>1095375</xdr:colOff>
          <xdr:row>133</xdr:row>
          <xdr:rowOff>38100</xdr:rowOff>
        </xdr:to>
        <xdr:sp macro="" textlink="">
          <xdr:nvSpPr>
            <xdr:cNvPr id="19623" name="strandsbox_07" hidden="1">
              <a:extLst>
                <a:ext uri="{63B3BB69-23CF-44E3-9099-C40C66FF867C}">
                  <a14:compatExt spid="_x0000_s19623"/>
                </a:ext>
                <a:ext uri="{FF2B5EF4-FFF2-40B4-BE49-F238E27FC236}">
                  <a16:creationId xmlns:a16="http://schemas.microsoft.com/office/drawing/2014/main" id="{00000000-0008-0000-1400-0000A7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65</xdr:row>
          <xdr:rowOff>9525</xdr:rowOff>
        </xdr:from>
        <xdr:to>
          <xdr:col>14</xdr:col>
          <xdr:colOff>1095375</xdr:colOff>
          <xdr:row>133</xdr:row>
          <xdr:rowOff>38100</xdr:rowOff>
        </xdr:to>
        <xdr:sp macro="" textlink="">
          <xdr:nvSpPr>
            <xdr:cNvPr id="19624" name="strandsbox_08" hidden="1">
              <a:extLst>
                <a:ext uri="{63B3BB69-23CF-44E3-9099-C40C66FF867C}">
                  <a14:compatExt spid="_x0000_s19624"/>
                </a:ext>
                <a:ext uri="{FF2B5EF4-FFF2-40B4-BE49-F238E27FC236}">
                  <a16:creationId xmlns:a16="http://schemas.microsoft.com/office/drawing/2014/main" id="{00000000-0008-0000-1400-0000A8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66</xdr:row>
          <xdr:rowOff>9525</xdr:rowOff>
        </xdr:from>
        <xdr:to>
          <xdr:col>14</xdr:col>
          <xdr:colOff>1095375</xdr:colOff>
          <xdr:row>133</xdr:row>
          <xdr:rowOff>38100</xdr:rowOff>
        </xdr:to>
        <xdr:sp macro="" textlink="">
          <xdr:nvSpPr>
            <xdr:cNvPr id="19625" name="strandsbox_09" hidden="1">
              <a:extLst>
                <a:ext uri="{63B3BB69-23CF-44E3-9099-C40C66FF867C}">
                  <a14:compatExt spid="_x0000_s19625"/>
                </a:ext>
                <a:ext uri="{FF2B5EF4-FFF2-40B4-BE49-F238E27FC236}">
                  <a16:creationId xmlns:a16="http://schemas.microsoft.com/office/drawing/2014/main" id="{00000000-0008-0000-1400-0000A9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67</xdr:row>
          <xdr:rowOff>9525</xdr:rowOff>
        </xdr:from>
        <xdr:to>
          <xdr:col>14</xdr:col>
          <xdr:colOff>1095375</xdr:colOff>
          <xdr:row>133</xdr:row>
          <xdr:rowOff>38100</xdr:rowOff>
        </xdr:to>
        <xdr:sp macro="" textlink="">
          <xdr:nvSpPr>
            <xdr:cNvPr id="19626" name="strandsbox_10" hidden="1">
              <a:extLst>
                <a:ext uri="{63B3BB69-23CF-44E3-9099-C40C66FF867C}">
                  <a14:compatExt spid="_x0000_s19626"/>
                </a:ext>
                <a:ext uri="{FF2B5EF4-FFF2-40B4-BE49-F238E27FC236}">
                  <a16:creationId xmlns:a16="http://schemas.microsoft.com/office/drawing/2014/main" id="{00000000-0008-0000-1400-0000AA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68</xdr:row>
          <xdr:rowOff>9525</xdr:rowOff>
        </xdr:from>
        <xdr:to>
          <xdr:col>14</xdr:col>
          <xdr:colOff>1095375</xdr:colOff>
          <xdr:row>133</xdr:row>
          <xdr:rowOff>38100</xdr:rowOff>
        </xdr:to>
        <xdr:sp macro="" textlink="">
          <xdr:nvSpPr>
            <xdr:cNvPr id="19627" name="strandsbox_11" hidden="1">
              <a:extLst>
                <a:ext uri="{63B3BB69-23CF-44E3-9099-C40C66FF867C}">
                  <a14:compatExt spid="_x0000_s19627"/>
                </a:ext>
                <a:ext uri="{FF2B5EF4-FFF2-40B4-BE49-F238E27FC236}">
                  <a16:creationId xmlns:a16="http://schemas.microsoft.com/office/drawing/2014/main" id="{00000000-0008-0000-1400-0000AB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69</xdr:row>
          <xdr:rowOff>9525</xdr:rowOff>
        </xdr:from>
        <xdr:to>
          <xdr:col>14</xdr:col>
          <xdr:colOff>1095375</xdr:colOff>
          <xdr:row>133</xdr:row>
          <xdr:rowOff>38100</xdr:rowOff>
        </xdr:to>
        <xdr:sp macro="" textlink="">
          <xdr:nvSpPr>
            <xdr:cNvPr id="19628" name="strandsbox_12" hidden="1">
              <a:extLst>
                <a:ext uri="{63B3BB69-23CF-44E3-9099-C40C66FF867C}">
                  <a14:compatExt spid="_x0000_s19628"/>
                </a:ext>
                <a:ext uri="{FF2B5EF4-FFF2-40B4-BE49-F238E27FC236}">
                  <a16:creationId xmlns:a16="http://schemas.microsoft.com/office/drawing/2014/main" id="{00000000-0008-0000-1400-0000AC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16</xdr:col>
      <xdr:colOff>761807</xdr:colOff>
      <xdr:row>0</xdr:row>
      <xdr:rowOff>215900</xdr:rowOff>
    </xdr:from>
    <xdr:to>
      <xdr:col>17</xdr:col>
      <xdr:colOff>373</xdr:colOff>
      <xdr:row>3</xdr:row>
      <xdr:rowOff>241300</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683807" y="215900"/>
          <a:ext cx="1638866" cy="1104900"/>
        </a:xfrm>
        <a:prstGeom prst="rect">
          <a:avLst/>
        </a:prstGeom>
      </xdr:spPr>
    </xdr:pic>
    <xdr:clientData/>
  </xdr:twoCellAnchor>
  <xdr:twoCellAnchor editAs="oneCell">
    <xdr:from>
      <xdr:col>4</xdr:col>
      <xdr:colOff>927100</xdr:colOff>
      <xdr:row>0</xdr:row>
      <xdr:rowOff>240477</xdr:rowOff>
    </xdr:from>
    <xdr:to>
      <xdr:col>6</xdr:col>
      <xdr:colOff>714450</xdr:colOff>
      <xdr:row>2</xdr:row>
      <xdr:rowOff>249899</xdr:rowOff>
    </xdr:to>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74900" y="240477"/>
          <a:ext cx="1578050" cy="796822"/>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238125</xdr:colOff>
          <xdr:row>153</xdr:row>
          <xdr:rowOff>76200</xdr:rowOff>
        </xdr:from>
        <xdr:to>
          <xdr:col>13</xdr:col>
          <xdr:colOff>228600</xdr:colOff>
          <xdr:row>155</xdr:row>
          <xdr:rowOff>180975</xdr:rowOff>
        </xdr:to>
        <xdr:sp macro="" textlink="">
          <xdr:nvSpPr>
            <xdr:cNvPr id="19634" name="Button 178" hidden="1">
              <a:extLst>
                <a:ext uri="{63B3BB69-23CF-44E3-9099-C40C66FF867C}">
                  <a14:compatExt spid="_x0000_s19634"/>
                </a:ext>
                <a:ext uri="{FF2B5EF4-FFF2-40B4-BE49-F238E27FC236}">
                  <a16:creationId xmlns:a16="http://schemas.microsoft.com/office/drawing/2014/main" id="{00000000-0008-0000-1400-0000B2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600" b="1" i="0" u="none" strike="noStrike" baseline="0">
                  <a:solidFill>
                    <a:srgbClr val="000000"/>
                  </a:solidFill>
                  <a:latin typeface="Calibri"/>
                  <a:cs typeface="Calibri"/>
                </a:rPr>
                <a:t>Fix</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15" name="elembox_01" hidden="1">
              <a:extLst>
                <a:ext uri="{63B3BB69-23CF-44E3-9099-C40C66FF867C}">
                  <a14:compatExt spid="_x0000_s192515"/>
                </a:ext>
                <a:ext uri="{FF2B5EF4-FFF2-40B4-BE49-F238E27FC236}">
                  <a16:creationId xmlns:a16="http://schemas.microsoft.com/office/drawing/2014/main" id="{00000000-0008-0000-1500-000003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16" name="elembox_02" hidden="1">
              <a:extLst>
                <a:ext uri="{63B3BB69-23CF-44E3-9099-C40C66FF867C}">
                  <a14:compatExt spid="_x0000_s192516"/>
                </a:ext>
                <a:ext uri="{FF2B5EF4-FFF2-40B4-BE49-F238E27FC236}">
                  <a16:creationId xmlns:a16="http://schemas.microsoft.com/office/drawing/2014/main" id="{00000000-0008-0000-1500-000004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17" name="elembox_03" hidden="1">
              <a:extLst>
                <a:ext uri="{63B3BB69-23CF-44E3-9099-C40C66FF867C}">
                  <a14:compatExt spid="_x0000_s192517"/>
                </a:ext>
                <a:ext uri="{FF2B5EF4-FFF2-40B4-BE49-F238E27FC236}">
                  <a16:creationId xmlns:a16="http://schemas.microsoft.com/office/drawing/2014/main" id="{00000000-0008-0000-1500-000005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18" name="elembox_04" hidden="1">
              <a:extLst>
                <a:ext uri="{63B3BB69-23CF-44E3-9099-C40C66FF867C}">
                  <a14:compatExt spid="_x0000_s192518"/>
                </a:ext>
                <a:ext uri="{FF2B5EF4-FFF2-40B4-BE49-F238E27FC236}">
                  <a16:creationId xmlns:a16="http://schemas.microsoft.com/office/drawing/2014/main" id="{00000000-0008-0000-1500-000006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19" name="elembox_05" hidden="1">
              <a:extLst>
                <a:ext uri="{63B3BB69-23CF-44E3-9099-C40C66FF867C}">
                  <a14:compatExt spid="_x0000_s192519"/>
                </a:ext>
                <a:ext uri="{FF2B5EF4-FFF2-40B4-BE49-F238E27FC236}">
                  <a16:creationId xmlns:a16="http://schemas.microsoft.com/office/drawing/2014/main" id="{00000000-0008-0000-1500-000007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20" name="elembox_06" hidden="1">
              <a:extLst>
                <a:ext uri="{63B3BB69-23CF-44E3-9099-C40C66FF867C}">
                  <a14:compatExt spid="_x0000_s192520"/>
                </a:ext>
                <a:ext uri="{FF2B5EF4-FFF2-40B4-BE49-F238E27FC236}">
                  <a16:creationId xmlns:a16="http://schemas.microsoft.com/office/drawing/2014/main" id="{00000000-0008-0000-1500-000008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21" name="elembox_07" hidden="1">
              <a:extLst>
                <a:ext uri="{63B3BB69-23CF-44E3-9099-C40C66FF867C}">
                  <a14:compatExt spid="_x0000_s192521"/>
                </a:ext>
                <a:ext uri="{FF2B5EF4-FFF2-40B4-BE49-F238E27FC236}">
                  <a16:creationId xmlns:a16="http://schemas.microsoft.com/office/drawing/2014/main" id="{00000000-0008-0000-1500-000009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22" name="elembox_08" hidden="1">
              <a:extLst>
                <a:ext uri="{63B3BB69-23CF-44E3-9099-C40C66FF867C}">
                  <a14:compatExt spid="_x0000_s192522"/>
                </a:ext>
                <a:ext uri="{FF2B5EF4-FFF2-40B4-BE49-F238E27FC236}">
                  <a16:creationId xmlns:a16="http://schemas.microsoft.com/office/drawing/2014/main" id="{00000000-0008-0000-1500-00000A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23" name="elembox_09" hidden="1">
              <a:extLst>
                <a:ext uri="{63B3BB69-23CF-44E3-9099-C40C66FF867C}">
                  <a14:compatExt spid="_x0000_s192523"/>
                </a:ext>
                <a:ext uri="{FF2B5EF4-FFF2-40B4-BE49-F238E27FC236}">
                  <a16:creationId xmlns:a16="http://schemas.microsoft.com/office/drawing/2014/main" id="{00000000-0008-0000-1500-00000B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24" name="jhsbox_01" hidden="1">
              <a:extLst>
                <a:ext uri="{63B3BB69-23CF-44E3-9099-C40C66FF867C}">
                  <a14:compatExt spid="_x0000_s192524"/>
                </a:ext>
                <a:ext uri="{FF2B5EF4-FFF2-40B4-BE49-F238E27FC236}">
                  <a16:creationId xmlns:a16="http://schemas.microsoft.com/office/drawing/2014/main" id="{00000000-0008-0000-1500-00000C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25" name="jhsbox_02" hidden="1">
              <a:extLst>
                <a:ext uri="{63B3BB69-23CF-44E3-9099-C40C66FF867C}">
                  <a14:compatExt spid="_x0000_s192525"/>
                </a:ext>
                <a:ext uri="{FF2B5EF4-FFF2-40B4-BE49-F238E27FC236}">
                  <a16:creationId xmlns:a16="http://schemas.microsoft.com/office/drawing/2014/main" id="{00000000-0008-0000-1500-00000D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26" name="jhsbox_03" hidden="1">
              <a:extLst>
                <a:ext uri="{63B3BB69-23CF-44E3-9099-C40C66FF867C}">
                  <a14:compatExt spid="_x0000_s192526"/>
                </a:ext>
                <a:ext uri="{FF2B5EF4-FFF2-40B4-BE49-F238E27FC236}">
                  <a16:creationId xmlns:a16="http://schemas.microsoft.com/office/drawing/2014/main" id="{00000000-0008-0000-1500-00000E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27" name="jhsbox_04" hidden="1">
              <a:extLst>
                <a:ext uri="{63B3BB69-23CF-44E3-9099-C40C66FF867C}">
                  <a14:compatExt spid="_x0000_s192527"/>
                </a:ext>
                <a:ext uri="{FF2B5EF4-FFF2-40B4-BE49-F238E27FC236}">
                  <a16:creationId xmlns:a16="http://schemas.microsoft.com/office/drawing/2014/main" id="{00000000-0008-0000-1500-00000F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28" name="jhsbox_05" hidden="1">
              <a:extLst>
                <a:ext uri="{63B3BB69-23CF-44E3-9099-C40C66FF867C}">
                  <a14:compatExt spid="_x0000_s192528"/>
                </a:ext>
                <a:ext uri="{FF2B5EF4-FFF2-40B4-BE49-F238E27FC236}">
                  <a16:creationId xmlns:a16="http://schemas.microsoft.com/office/drawing/2014/main" id="{00000000-0008-0000-1500-000010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29" name="jhsbox_06" hidden="1">
              <a:extLst>
                <a:ext uri="{63B3BB69-23CF-44E3-9099-C40C66FF867C}">
                  <a14:compatExt spid="_x0000_s192529"/>
                </a:ext>
                <a:ext uri="{FF2B5EF4-FFF2-40B4-BE49-F238E27FC236}">
                  <a16:creationId xmlns:a16="http://schemas.microsoft.com/office/drawing/2014/main" id="{00000000-0008-0000-1500-000011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30" name="shsbox_01" hidden="1">
              <a:extLst>
                <a:ext uri="{63B3BB69-23CF-44E3-9099-C40C66FF867C}">
                  <a14:compatExt spid="_x0000_s192530"/>
                </a:ext>
                <a:ext uri="{FF2B5EF4-FFF2-40B4-BE49-F238E27FC236}">
                  <a16:creationId xmlns:a16="http://schemas.microsoft.com/office/drawing/2014/main" id="{00000000-0008-0000-1500-000012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31" name="shsbox_02" hidden="1">
              <a:extLst>
                <a:ext uri="{63B3BB69-23CF-44E3-9099-C40C66FF867C}">
                  <a14:compatExt spid="_x0000_s192531"/>
                </a:ext>
                <a:ext uri="{FF2B5EF4-FFF2-40B4-BE49-F238E27FC236}">
                  <a16:creationId xmlns:a16="http://schemas.microsoft.com/office/drawing/2014/main" id="{00000000-0008-0000-1500-000013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32" name="shsbox_03" hidden="1">
              <a:extLst>
                <a:ext uri="{63B3BB69-23CF-44E3-9099-C40C66FF867C}">
                  <a14:compatExt spid="_x0000_s192532"/>
                </a:ext>
                <a:ext uri="{FF2B5EF4-FFF2-40B4-BE49-F238E27FC236}">
                  <a16:creationId xmlns:a16="http://schemas.microsoft.com/office/drawing/2014/main" id="{00000000-0008-0000-1500-000014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50" name="subjectsbox_01" hidden="1">
              <a:extLst>
                <a:ext uri="{63B3BB69-23CF-44E3-9099-C40C66FF867C}">
                  <a14:compatExt spid="_x0000_s192550"/>
                </a:ext>
                <a:ext uri="{FF2B5EF4-FFF2-40B4-BE49-F238E27FC236}">
                  <a16:creationId xmlns:a16="http://schemas.microsoft.com/office/drawing/2014/main" id="{00000000-0008-0000-1500-000026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51" name="subjectsbox_02" hidden="1">
              <a:extLst>
                <a:ext uri="{63B3BB69-23CF-44E3-9099-C40C66FF867C}">
                  <a14:compatExt spid="_x0000_s192551"/>
                </a:ext>
                <a:ext uri="{FF2B5EF4-FFF2-40B4-BE49-F238E27FC236}">
                  <a16:creationId xmlns:a16="http://schemas.microsoft.com/office/drawing/2014/main" id="{00000000-0008-0000-1500-000027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52" name="subjectsbox_03" hidden="1">
              <a:extLst>
                <a:ext uri="{63B3BB69-23CF-44E3-9099-C40C66FF867C}">
                  <a14:compatExt spid="_x0000_s192552"/>
                </a:ext>
                <a:ext uri="{FF2B5EF4-FFF2-40B4-BE49-F238E27FC236}">
                  <a16:creationId xmlns:a16="http://schemas.microsoft.com/office/drawing/2014/main" id="{00000000-0008-0000-1500-000028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53" name="subjectsbox_04" hidden="1">
              <a:extLst>
                <a:ext uri="{63B3BB69-23CF-44E3-9099-C40C66FF867C}">
                  <a14:compatExt spid="_x0000_s192553"/>
                </a:ext>
                <a:ext uri="{FF2B5EF4-FFF2-40B4-BE49-F238E27FC236}">
                  <a16:creationId xmlns:a16="http://schemas.microsoft.com/office/drawing/2014/main" id="{00000000-0008-0000-1500-000029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54" name="subjectsbox_05" hidden="1">
              <a:extLst>
                <a:ext uri="{63B3BB69-23CF-44E3-9099-C40C66FF867C}">
                  <a14:compatExt spid="_x0000_s192554"/>
                </a:ext>
                <a:ext uri="{FF2B5EF4-FFF2-40B4-BE49-F238E27FC236}">
                  <a16:creationId xmlns:a16="http://schemas.microsoft.com/office/drawing/2014/main" id="{00000000-0008-0000-1500-00002A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55" name="subjectsbox_06" hidden="1">
              <a:extLst>
                <a:ext uri="{63B3BB69-23CF-44E3-9099-C40C66FF867C}">
                  <a14:compatExt spid="_x0000_s192555"/>
                </a:ext>
                <a:ext uri="{FF2B5EF4-FFF2-40B4-BE49-F238E27FC236}">
                  <a16:creationId xmlns:a16="http://schemas.microsoft.com/office/drawing/2014/main" id="{00000000-0008-0000-1500-00002B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56" name="subjectsbox_07" hidden="1">
              <a:extLst>
                <a:ext uri="{63B3BB69-23CF-44E3-9099-C40C66FF867C}">
                  <a14:compatExt spid="_x0000_s192556"/>
                </a:ext>
                <a:ext uri="{FF2B5EF4-FFF2-40B4-BE49-F238E27FC236}">
                  <a16:creationId xmlns:a16="http://schemas.microsoft.com/office/drawing/2014/main" id="{00000000-0008-0000-1500-00002C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57" name="subjectsbox_08" hidden="1">
              <a:extLst>
                <a:ext uri="{63B3BB69-23CF-44E3-9099-C40C66FF867C}">
                  <a14:compatExt spid="_x0000_s192557"/>
                </a:ext>
                <a:ext uri="{FF2B5EF4-FFF2-40B4-BE49-F238E27FC236}">
                  <a16:creationId xmlns:a16="http://schemas.microsoft.com/office/drawing/2014/main" id="{00000000-0008-0000-1500-00002D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58" name="subjectsbox_09" hidden="1">
              <a:extLst>
                <a:ext uri="{63B3BB69-23CF-44E3-9099-C40C66FF867C}">
                  <a14:compatExt spid="_x0000_s192558"/>
                </a:ext>
                <a:ext uri="{FF2B5EF4-FFF2-40B4-BE49-F238E27FC236}">
                  <a16:creationId xmlns:a16="http://schemas.microsoft.com/office/drawing/2014/main" id="{00000000-0008-0000-1500-00002E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59" name="subjectsbox_10" hidden="1">
              <a:extLst>
                <a:ext uri="{63B3BB69-23CF-44E3-9099-C40C66FF867C}">
                  <a14:compatExt spid="_x0000_s192559"/>
                </a:ext>
                <a:ext uri="{FF2B5EF4-FFF2-40B4-BE49-F238E27FC236}">
                  <a16:creationId xmlns:a16="http://schemas.microsoft.com/office/drawing/2014/main" id="{00000000-0008-0000-1500-00002F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60" name="subjectsbox_11" hidden="1">
              <a:extLst>
                <a:ext uri="{63B3BB69-23CF-44E3-9099-C40C66FF867C}">
                  <a14:compatExt spid="_x0000_s192560"/>
                </a:ext>
                <a:ext uri="{FF2B5EF4-FFF2-40B4-BE49-F238E27FC236}">
                  <a16:creationId xmlns:a16="http://schemas.microsoft.com/office/drawing/2014/main" id="{00000000-0008-0000-1500-000030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61" name="subjectsbox_12" hidden="1">
              <a:extLst>
                <a:ext uri="{63B3BB69-23CF-44E3-9099-C40C66FF867C}">
                  <a14:compatExt spid="_x0000_s192561"/>
                </a:ext>
                <a:ext uri="{FF2B5EF4-FFF2-40B4-BE49-F238E27FC236}">
                  <a16:creationId xmlns:a16="http://schemas.microsoft.com/office/drawing/2014/main" id="{00000000-0008-0000-1500-000031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62" name="subjectsbox_13" hidden="1">
              <a:extLst>
                <a:ext uri="{63B3BB69-23CF-44E3-9099-C40C66FF867C}">
                  <a14:compatExt spid="_x0000_s192562"/>
                </a:ext>
                <a:ext uri="{FF2B5EF4-FFF2-40B4-BE49-F238E27FC236}">
                  <a16:creationId xmlns:a16="http://schemas.microsoft.com/office/drawing/2014/main" id="{00000000-0008-0000-1500-000032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63" name="subjectsbox_14" hidden="1">
              <a:extLst>
                <a:ext uri="{63B3BB69-23CF-44E3-9099-C40C66FF867C}">
                  <a14:compatExt spid="_x0000_s192563"/>
                </a:ext>
                <a:ext uri="{FF2B5EF4-FFF2-40B4-BE49-F238E27FC236}">
                  <a16:creationId xmlns:a16="http://schemas.microsoft.com/office/drawing/2014/main" id="{00000000-0008-0000-1500-000033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64" name="subjectsbox_15" hidden="1">
              <a:extLst>
                <a:ext uri="{63B3BB69-23CF-44E3-9099-C40C66FF867C}">
                  <a14:compatExt spid="_x0000_s192564"/>
                </a:ext>
                <a:ext uri="{FF2B5EF4-FFF2-40B4-BE49-F238E27FC236}">
                  <a16:creationId xmlns:a16="http://schemas.microsoft.com/office/drawing/2014/main" id="{00000000-0008-0000-1500-000034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65" name="subjectsbox_16" hidden="1">
              <a:extLst>
                <a:ext uri="{63B3BB69-23CF-44E3-9099-C40C66FF867C}">
                  <a14:compatExt spid="_x0000_s192565"/>
                </a:ext>
                <a:ext uri="{FF2B5EF4-FFF2-40B4-BE49-F238E27FC236}">
                  <a16:creationId xmlns:a16="http://schemas.microsoft.com/office/drawing/2014/main" id="{00000000-0008-0000-1500-000035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66" name="subjectsbox_17" hidden="1">
              <a:extLst>
                <a:ext uri="{63B3BB69-23CF-44E3-9099-C40C66FF867C}">
                  <a14:compatExt spid="_x0000_s192566"/>
                </a:ext>
                <a:ext uri="{FF2B5EF4-FFF2-40B4-BE49-F238E27FC236}">
                  <a16:creationId xmlns:a16="http://schemas.microsoft.com/office/drawing/2014/main" id="{00000000-0008-0000-1500-000036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67" name="subjectsbox_18" hidden="1">
              <a:extLst>
                <a:ext uri="{63B3BB69-23CF-44E3-9099-C40C66FF867C}">
                  <a14:compatExt spid="_x0000_s192567"/>
                </a:ext>
                <a:ext uri="{FF2B5EF4-FFF2-40B4-BE49-F238E27FC236}">
                  <a16:creationId xmlns:a16="http://schemas.microsoft.com/office/drawing/2014/main" id="{00000000-0008-0000-1500-000037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68" name="subjectsbox_19" hidden="1">
              <a:extLst>
                <a:ext uri="{63B3BB69-23CF-44E3-9099-C40C66FF867C}">
                  <a14:compatExt spid="_x0000_s192568"/>
                </a:ext>
                <a:ext uri="{FF2B5EF4-FFF2-40B4-BE49-F238E27FC236}">
                  <a16:creationId xmlns:a16="http://schemas.microsoft.com/office/drawing/2014/main" id="{00000000-0008-0000-1500-000038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69" name="subjectsbox_20" hidden="1">
              <a:extLst>
                <a:ext uri="{63B3BB69-23CF-44E3-9099-C40C66FF867C}">
                  <a14:compatExt spid="_x0000_s192569"/>
                </a:ext>
                <a:ext uri="{FF2B5EF4-FFF2-40B4-BE49-F238E27FC236}">
                  <a16:creationId xmlns:a16="http://schemas.microsoft.com/office/drawing/2014/main" id="{00000000-0008-0000-1500-000039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70" name="strandsbox_01" hidden="1">
              <a:extLst>
                <a:ext uri="{63B3BB69-23CF-44E3-9099-C40C66FF867C}">
                  <a14:compatExt spid="_x0000_s192570"/>
                </a:ext>
                <a:ext uri="{FF2B5EF4-FFF2-40B4-BE49-F238E27FC236}">
                  <a16:creationId xmlns:a16="http://schemas.microsoft.com/office/drawing/2014/main" id="{00000000-0008-0000-1500-00003A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71" name="strandsbox_02" hidden="1">
              <a:extLst>
                <a:ext uri="{63B3BB69-23CF-44E3-9099-C40C66FF867C}">
                  <a14:compatExt spid="_x0000_s192571"/>
                </a:ext>
                <a:ext uri="{FF2B5EF4-FFF2-40B4-BE49-F238E27FC236}">
                  <a16:creationId xmlns:a16="http://schemas.microsoft.com/office/drawing/2014/main" id="{00000000-0008-0000-1500-00003B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72" name="strandsbox_03" hidden="1">
              <a:extLst>
                <a:ext uri="{63B3BB69-23CF-44E3-9099-C40C66FF867C}">
                  <a14:compatExt spid="_x0000_s192572"/>
                </a:ext>
                <a:ext uri="{FF2B5EF4-FFF2-40B4-BE49-F238E27FC236}">
                  <a16:creationId xmlns:a16="http://schemas.microsoft.com/office/drawing/2014/main" id="{00000000-0008-0000-1500-00003C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73" name="strandsbox_04" hidden="1">
              <a:extLst>
                <a:ext uri="{63B3BB69-23CF-44E3-9099-C40C66FF867C}">
                  <a14:compatExt spid="_x0000_s192573"/>
                </a:ext>
                <a:ext uri="{FF2B5EF4-FFF2-40B4-BE49-F238E27FC236}">
                  <a16:creationId xmlns:a16="http://schemas.microsoft.com/office/drawing/2014/main" id="{00000000-0008-0000-1500-00003D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74" name="strandsbox_05" hidden="1">
              <a:extLst>
                <a:ext uri="{63B3BB69-23CF-44E3-9099-C40C66FF867C}">
                  <a14:compatExt spid="_x0000_s192574"/>
                </a:ext>
                <a:ext uri="{FF2B5EF4-FFF2-40B4-BE49-F238E27FC236}">
                  <a16:creationId xmlns:a16="http://schemas.microsoft.com/office/drawing/2014/main" id="{00000000-0008-0000-1500-00003E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16</xdr:row>
          <xdr:rowOff>0</xdr:rowOff>
        </xdr:from>
        <xdr:to>
          <xdr:col>9</xdr:col>
          <xdr:colOff>0</xdr:colOff>
          <xdr:row>16</xdr:row>
          <xdr:rowOff>228600</xdr:rowOff>
        </xdr:to>
        <xdr:sp macro="" textlink="">
          <xdr:nvSpPr>
            <xdr:cNvPr id="192575" name="strandsbox_06" hidden="1">
              <a:extLst>
                <a:ext uri="{63B3BB69-23CF-44E3-9099-C40C66FF867C}">
                  <a14:compatExt spid="_x0000_s192575"/>
                </a:ext>
                <a:ext uri="{FF2B5EF4-FFF2-40B4-BE49-F238E27FC236}">
                  <a16:creationId xmlns:a16="http://schemas.microsoft.com/office/drawing/2014/main" id="{00000000-0008-0000-1500-00003F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76" name="strandsbox_07" hidden="1">
              <a:extLst>
                <a:ext uri="{63B3BB69-23CF-44E3-9099-C40C66FF867C}">
                  <a14:compatExt spid="_x0000_s192576"/>
                </a:ext>
                <a:ext uri="{FF2B5EF4-FFF2-40B4-BE49-F238E27FC236}">
                  <a16:creationId xmlns:a16="http://schemas.microsoft.com/office/drawing/2014/main" id="{00000000-0008-0000-1500-000040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77" name="strandsbox_08" hidden="1">
              <a:extLst>
                <a:ext uri="{63B3BB69-23CF-44E3-9099-C40C66FF867C}">
                  <a14:compatExt spid="_x0000_s192577"/>
                </a:ext>
                <a:ext uri="{FF2B5EF4-FFF2-40B4-BE49-F238E27FC236}">
                  <a16:creationId xmlns:a16="http://schemas.microsoft.com/office/drawing/2014/main" id="{00000000-0008-0000-1500-000041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78" name="strandsbox_09" hidden="1">
              <a:extLst>
                <a:ext uri="{63B3BB69-23CF-44E3-9099-C40C66FF867C}">
                  <a14:compatExt spid="_x0000_s192578"/>
                </a:ext>
                <a:ext uri="{FF2B5EF4-FFF2-40B4-BE49-F238E27FC236}">
                  <a16:creationId xmlns:a16="http://schemas.microsoft.com/office/drawing/2014/main" id="{00000000-0008-0000-1500-000042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79" name="strandsbox_10" hidden="1">
              <a:extLst>
                <a:ext uri="{63B3BB69-23CF-44E3-9099-C40C66FF867C}">
                  <a14:compatExt spid="_x0000_s192579"/>
                </a:ext>
                <a:ext uri="{FF2B5EF4-FFF2-40B4-BE49-F238E27FC236}">
                  <a16:creationId xmlns:a16="http://schemas.microsoft.com/office/drawing/2014/main" id="{00000000-0008-0000-1500-000043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80" name="strandsbox_11" hidden="1">
              <a:extLst>
                <a:ext uri="{63B3BB69-23CF-44E3-9099-C40C66FF867C}">
                  <a14:compatExt spid="_x0000_s192580"/>
                </a:ext>
                <a:ext uri="{FF2B5EF4-FFF2-40B4-BE49-F238E27FC236}">
                  <a16:creationId xmlns:a16="http://schemas.microsoft.com/office/drawing/2014/main" id="{00000000-0008-0000-1500-000044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16</xdr:row>
          <xdr:rowOff>0</xdr:rowOff>
        </xdr:from>
        <xdr:to>
          <xdr:col>14</xdr:col>
          <xdr:colOff>1095375</xdr:colOff>
          <xdr:row>16</xdr:row>
          <xdr:rowOff>228600</xdr:rowOff>
        </xdr:to>
        <xdr:sp macro="" textlink="">
          <xdr:nvSpPr>
            <xdr:cNvPr id="192581" name="strandsbox_12" hidden="1">
              <a:extLst>
                <a:ext uri="{63B3BB69-23CF-44E3-9099-C40C66FF867C}">
                  <a14:compatExt spid="_x0000_s192581"/>
                </a:ext>
                <a:ext uri="{FF2B5EF4-FFF2-40B4-BE49-F238E27FC236}">
                  <a16:creationId xmlns:a16="http://schemas.microsoft.com/office/drawing/2014/main" id="{00000000-0008-0000-1500-000045F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14</xdr:col>
      <xdr:colOff>850707</xdr:colOff>
      <xdr:row>0</xdr:row>
      <xdr:rowOff>127000</xdr:rowOff>
    </xdr:from>
    <xdr:to>
      <xdr:col>15</xdr:col>
      <xdr:colOff>373</xdr:colOff>
      <xdr:row>3</xdr:row>
      <xdr:rowOff>152400</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29507" y="127000"/>
          <a:ext cx="1638866" cy="1104900"/>
        </a:xfrm>
        <a:prstGeom prst="rect">
          <a:avLst/>
        </a:prstGeom>
      </xdr:spPr>
    </xdr:pic>
    <xdr:clientData/>
  </xdr:twoCellAnchor>
  <xdr:twoCellAnchor editAs="oneCell">
    <xdr:from>
      <xdr:col>1</xdr:col>
      <xdr:colOff>152400</xdr:colOff>
      <xdr:row>0</xdr:row>
      <xdr:rowOff>151577</xdr:rowOff>
    </xdr:from>
    <xdr:to>
      <xdr:col>4</xdr:col>
      <xdr:colOff>511250</xdr:colOff>
      <xdr:row>2</xdr:row>
      <xdr:rowOff>160999</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1000" y="151577"/>
          <a:ext cx="1578050" cy="796822"/>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9525</xdr:colOff>
          <xdr:row>17</xdr:row>
          <xdr:rowOff>314325</xdr:rowOff>
        </xdr:from>
        <xdr:to>
          <xdr:col>13</xdr:col>
          <xdr:colOff>152400</xdr:colOff>
          <xdr:row>18</xdr:row>
          <xdr:rowOff>466725</xdr:rowOff>
        </xdr:to>
        <xdr:sp macro="" textlink="">
          <xdr:nvSpPr>
            <xdr:cNvPr id="192585" name="Button 73" hidden="1">
              <a:extLst>
                <a:ext uri="{63B3BB69-23CF-44E3-9099-C40C66FF867C}">
                  <a14:compatExt spid="_x0000_s192585"/>
                </a:ext>
                <a:ext uri="{FF2B5EF4-FFF2-40B4-BE49-F238E27FC236}">
                  <a16:creationId xmlns:a16="http://schemas.microsoft.com/office/drawing/2014/main" id="{00000000-0008-0000-1500-000049F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600" b="1" i="0" u="none" strike="noStrike" baseline="0">
                  <a:solidFill>
                    <a:srgbClr val="000000"/>
                  </a:solidFill>
                  <a:latin typeface="Calibri"/>
                  <a:cs typeface="Calibri"/>
                </a:rPr>
                <a:t>Show/Hide </a:t>
              </a:r>
            </a:p>
            <a:p>
              <a:pPr algn="ctr" rtl="0">
                <a:defRPr sz="1000"/>
              </a:pPr>
              <a:r>
                <a:rPr lang="en-PH" sz="1600" b="1" i="0" u="none" strike="noStrike" baseline="0">
                  <a:solidFill>
                    <a:srgbClr val="000000"/>
                  </a:solidFill>
                  <a:latin typeface="Calibri"/>
                  <a:cs typeface="Calibri"/>
                </a:rPr>
                <a:t>All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381000</xdr:colOff>
          <xdr:row>17</xdr:row>
          <xdr:rowOff>333375</xdr:rowOff>
        </xdr:from>
        <xdr:to>
          <xdr:col>5</xdr:col>
          <xdr:colOff>0</xdr:colOff>
          <xdr:row>18</xdr:row>
          <xdr:rowOff>495300</xdr:rowOff>
        </xdr:to>
        <xdr:sp macro="" textlink="">
          <xdr:nvSpPr>
            <xdr:cNvPr id="192586" name="Button 74" hidden="1">
              <a:extLst>
                <a:ext uri="{63B3BB69-23CF-44E3-9099-C40C66FF867C}">
                  <a14:compatExt spid="_x0000_s192586"/>
                </a:ext>
                <a:ext uri="{FF2B5EF4-FFF2-40B4-BE49-F238E27FC236}">
                  <a16:creationId xmlns:a16="http://schemas.microsoft.com/office/drawing/2014/main" id="{00000000-0008-0000-1500-00004AF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800" b="1" i="0" u="none" strike="noStrike" baseline="0">
                  <a:solidFill>
                    <a:srgbClr val="000000"/>
                  </a:solidFill>
                  <a:latin typeface="Calibri"/>
                  <a:cs typeface="Calibri"/>
                </a:rPr>
                <a:t>Edit 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990600</xdr:colOff>
          <xdr:row>42</xdr:row>
          <xdr:rowOff>47625</xdr:rowOff>
        </xdr:from>
        <xdr:to>
          <xdr:col>7</xdr:col>
          <xdr:colOff>219075</xdr:colOff>
          <xdr:row>44</xdr:row>
          <xdr:rowOff>152400</xdr:rowOff>
        </xdr:to>
        <xdr:sp macro="" textlink="">
          <xdr:nvSpPr>
            <xdr:cNvPr id="192587" name="Button 75" hidden="1">
              <a:extLst>
                <a:ext uri="{63B3BB69-23CF-44E3-9099-C40C66FF867C}">
                  <a14:compatExt spid="_x0000_s192587"/>
                </a:ext>
                <a:ext uri="{FF2B5EF4-FFF2-40B4-BE49-F238E27FC236}">
                  <a16:creationId xmlns:a16="http://schemas.microsoft.com/office/drawing/2014/main" id="{00000000-0008-0000-1500-00004BF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600" b="1" i="0" u="none" strike="noStrike" baseline="0">
                  <a:solidFill>
                    <a:srgbClr val="000000"/>
                  </a:solidFill>
                  <a:latin typeface="Calibri"/>
                  <a:cs typeface="Calibri"/>
                </a:rPr>
                <a:t>Fix</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609600</xdr:colOff>
          <xdr:row>69</xdr:row>
          <xdr:rowOff>1571625</xdr:rowOff>
        </xdr:from>
        <xdr:to>
          <xdr:col>24</xdr:col>
          <xdr:colOff>276225</xdr:colOff>
          <xdr:row>69</xdr:row>
          <xdr:rowOff>2400300</xdr:rowOff>
        </xdr:to>
        <xdr:sp macro="" textlink="">
          <xdr:nvSpPr>
            <xdr:cNvPr id="33793" name="finalizeP1" hidden="1">
              <a:extLst>
                <a:ext uri="{63B3BB69-23CF-44E3-9099-C40C66FF867C}">
                  <a14:compatExt spid="_x0000_s33793"/>
                </a:ext>
                <a:ext uri="{FF2B5EF4-FFF2-40B4-BE49-F238E27FC236}">
                  <a16:creationId xmlns:a16="http://schemas.microsoft.com/office/drawing/2014/main" id="{00000000-0008-0000-1600-0000018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2000" b="1" i="0" u="none" strike="noStrike" baseline="0">
                  <a:solidFill>
                    <a:srgbClr val="000000"/>
                  </a:solidFill>
                  <a:latin typeface="Calibri"/>
                  <a:cs typeface="Calibri"/>
                </a:rPr>
                <a:t>Finalize Part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914400</xdr:colOff>
          <xdr:row>70</xdr:row>
          <xdr:rowOff>0</xdr:rowOff>
        </xdr:from>
        <xdr:to>
          <xdr:col>21</xdr:col>
          <xdr:colOff>466725</xdr:colOff>
          <xdr:row>80</xdr:row>
          <xdr:rowOff>28575</xdr:rowOff>
        </xdr:to>
        <xdr:sp macro="" textlink="">
          <xdr:nvSpPr>
            <xdr:cNvPr id="33799" name="Group Box 7" hidden="1">
              <a:extLst>
                <a:ext uri="{63B3BB69-23CF-44E3-9099-C40C66FF867C}">
                  <a14:compatExt spid="_x0000_s33799"/>
                </a:ext>
                <a:ext uri="{FF2B5EF4-FFF2-40B4-BE49-F238E27FC236}">
                  <a16:creationId xmlns:a16="http://schemas.microsoft.com/office/drawing/2014/main" id="{00000000-0008-0000-1600-000007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914400</xdr:colOff>
          <xdr:row>70</xdr:row>
          <xdr:rowOff>0</xdr:rowOff>
        </xdr:from>
        <xdr:to>
          <xdr:col>21</xdr:col>
          <xdr:colOff>466725</xdr:colOff>
          <xdr:row>85</xdr:row>
          <xdr:rowOff>152400</xdr:rowOff>
        </xdr:to>
        <xdr:sp macro="" textlink="">
          <xdr:nvSpPr>
            <xdr:cNvPr id="33800" name="Group Box 8" hidden="1">
              <a:extLst>
                <a:ext uri="{63B3BB69-23CF-44E3-9099-C40C66FF867C}">
                  <a14:compatExt spid="_x0000_s33800"/>
                </a:ext>
                <a:ext uri="{FF2B5EF4-FFF2-40B4-BE49-F238E27FC236}">
                  <a16:creationId xmlns:a16="http://schemas.microsoft.com/office/drawing/2014/main" id="{00000000-0008-0000-1600-000008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733425</xdr:colOff>
          <xdr:row>70</xdr:row>
          <xdr:rowOff>0</xdr:rowOff>
        </xdr:from>
        <xdr:to>
          <xdr:col>32</xdr:col>
          <xdr:colOff>1152525</xdr:colOff>
          <xdr:row>81</xdr:row>
          <xdr:rowOff>76200</xdr:rowOff>
        </xdr:to>
        <xdr:sp macro="" textlink="">
          <xdr:nvSpPr>
            <xdr:cNvPr id="33801" name="Group Box 9" hidden="1">
              <a:extLst>
                <a:ext uri="{63B3BB69-23CF-44E3-9099-C40C66FF867C}">
                  <a14:compatExt spid="_x0000_s33801"/>
                </a:ext>
                <a:ext uri="{FF2B5EF4-FFF2-40B4-BE49-F238E27FC236}">
                  <a16:creationId xmlns:a16="http://schemas.microsoft.com/office/drawing/2014/main" id="{00000000-0008-0000-1600-000009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733425</xdr:colOff>
          <xdr:row>70</xdr:row>
          <xdr:rowOff>0</xdr:rowOff>
        </xdr:from>
        <xdr:to>
          <xdr:col>32</xdr:col>
          <xdr:colOff>1171575</xdr:colOff>
          <xdr:row>85</xdr:row>
          <xdr:rowOff>161925</xdr:rowOff>
        </xdr:to>
        <xdr:sp macro="" textlink="">
          <xdr:nvSpPr>
            <xdr:cNvPr id="33802" name="Group Box 10" hidden="1">
              <a:extLst>
                <a:ext uri="{63B3BB69-23CF-44E3-9099-C40C66FF867C}">
                  <a14:compatExt spid="_x0000_s33802"/>
                </a:ext>
                <a:ext uri="{FF2B5EF4-FFF2-40B4-BE49-F238E27FC236}">
                  <a16:creationId xmlns:a16="http://schemas.microsoft.com/office/drawing/2014/main" id="{00000000-0008-0000-1600-00000A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733425</xdr:colOff>
          <xdr:row>70</xdr:row>
          <xdr:rowOff>0</xdr:rowOff>
        </xdr:from>
        <xdr:to>
          <xdr:col>32</xdr:col>
          <xdr:colOff>1190625</xdr:colOff>
          <xdr:row>88</xdr:row>
          <xdr:rowOff>85725</xdr:rowOff>
        </xdr:to>
        <xdr:sp macro="" textlink="">
          <xdr:nvSpPr>
            <xdr:cNvPr id="33803" name="Group Box 11" hidden="1">
              <a:extLst>
                <a:ext uri="{63B3BB69-23CF-44E3-9099-C40C66FF867C}">
                  <a14:compatExt spid="_x0000_s33803"/>
                </a:ext>
                <a:ext uri="{FF2B5EF4-FFF2-40B4-BE49-F238E27FC236}">
                  <a16:creationId xmlns:a16="http://schemas.microsoft.com/office/drawing/2014/main" id="{00000000-0008-0000-1600-00000B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12</xdr:col>
      <xdr:colOff>38100</xdr:colOff>
      <xdr:row>3</xdr:row>
      <xdr:rowOff>359463</xdr:rowOff>
    </xdr:from>
    <xdr:to>
      <xdr:col>32</xdr:col>
      <xdr:colOff>1447800</xdr:colOff>
      <xdr:row>3</xdr:row>
      <xdr:rowOff>4542118</xdr:rowOff>
    </xdr:to>
    <xdr:sp macro="" textlink="">
      <xdr:nvSpPr>
        <xdr:cNvPr id="39" name="TextBox 38">
          <a:extLst>
            <a:ext uri="{FF2B5EF4-FFF2-40B4-BE49-F238E27FC236}">
              <a16:creationId xmlns:a16="http://schemas.microsoft.com/office/drawing/2014/main" id="{00000000-0008-0000-1600-000027000000}"/>
            </a:ext>
          </a:extLst>
        </xdr:cNvPr>
        <xdr:cNvSpPr txBox="1"/>
      </xdr:nvSpPr>
      <xdr:spPr>
        <a:xfrm>
          <a:off x="336924" y="1121463"/>
          <a:ext cx="18382876" cy="4182655"/>
        </a:xfrm>
        <a:prstGeom prst="rect">
          <a:avLst/>
        </a:prstGeom>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just"/>
          <a:r>
            <a:rPr lang="en-PH" sz="1400" b="1">
              <a:latin typeface="Century Gothic" panose="020B0502020202020204" pitchFamily="34" charset="0"/>
            </a:rPr>
            <a:t>PRIVACY NOTICE:</a:t>
          </a:r>
        </a:p>
        <a:p>
          <a:pPr algn="just"/>
          <a:r>
            <a:rPr lang="en-PH" sz="1400" b="0">
              <a:latin typeface="Century Gothic" panose="020B0502020202020204" pitchFamily="34" charset="0"/>
            </a:rPr>
            <a:t>By</a:t>
          </a:r>
          <a:r>
            <a:rPr lang="en-PH" sz="1400" b="0" baseline="0">
              <a:latin typeface="Century Gothic" panose="020B0502020202020204" pitchFamily="34" charset="0"/>
            </a:rPr>
            <a:t> using this tool, you agree to authorize the Department of Education to collect, process, retain, and dispose of your personal information in accordance with the Data Privacy Act of 2012.</a:t>
          </a:r>
        </a:p>
        <a:p>
          <a:pPr algn="just"/>
          <a:endParaRPr lang="en-PH" sz="1400" b="0">
            <a:latin typeface="Century Gothic" panose="020B0502020202020204" pitchFamily="34" charset="0"/>
          </a:endParaRPr>
        </a:p>
        <a:p>
          <a:pPr algn="just"/>
          <a:r>
            <a:rPr lang="en-PH" sz="1400" b="1">
              <a:latin typeface="Century Gothic" panose="020B0502020202020204" pitchFamily="34" charset="0"/>
            </a:rPr>
            <a:t>INSTRUCTIONS:</a:t>
          </a:r>
          <a:r>
            <a:rPr lang="en-PH" sz="1400" baseline="0">
              <a:latin typeface="Century Gothic" panose="020B0502020202020204" pitchFamily="34" charset="0"/>
            </a:rPr>
            <a:t> </a:t>
          </a:r>
        </a:p>
        <a:p>
          <a:pPr algn="just"/>
          <a:r>
            <a:rPr lang="en-PH" sz="1400" baseline="0">
              <a:latin typeface="Century Gothic" panose="020B0502020202020204" pitchFamily="34" charset="0"/>
            </a:rPr>
            <a:t>Part 1 shall be accomplished by the </a:t>
          </a:r>
          <a:r>
            <a:rPr lang="en-PH" sz="1400" b="1" i="1" baseline="0">
              <a:latin typeface="Century Gothic" panose="020B0502020202020204" pitchFamily="34" charset="0"/>
            </a:rPr>
            <a:t>Rater</a:t>
          </a:r>
          <a:r>
            <a:rPr lang="en-PH" sz="1400" b="0" i="0" baseline="0">
              <a:latin typeface="Century Gothic" panose="020B0502020202020204" pitchFamily="34" charset="0"/>
            </a:rPr>
            <a:t> during the Phase III: Performance Review and Evaluation of the RPMS Cycle. </a:t>
          </a:r>
          <a:r>
            <a:rPr lang="en-PH" sz="1400" b="0" i="0">
              <a:latin typeface="Century Gothic" panose="020B0502020202020204" pitchFamily="34" charset="0"/>
            </a:rPr>
            <a:t>Fill in empty cells (white) with needed information about the rater and approving authority. </a:t>
          </a:r>
        </a:p>
        <a:p>
          <a:pPr marL="0" marR="0" indent="0" algn="just" defTabSz="914400" eaLnBrk="1" fontAlgn="auto" latinLnBrk="0" hangingPunct="1">
            <a:lnSpc>
              <a:spcPct val="100000"/>
            </a:lnSpc>
            <a:spcBef>
              <a:spcPts val="0"/>
            </a:spcBef>
            <a:spcAft>
              <a:spcPts val="0"/>
            </a:spcAft>
            <a:buClrTx/>
            <a:buSzTx/>
            <a:buFontTx/>
            <a:buNone/>
            <a:tabLst/>
            <a:defRPr/>
          </a:pPr>
          <a:endParaRPr lang="en-PH" sz="1400" b="0" i="0">
            <a:latin typeface="Century Gothic" panose="020B0502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r>
            <a:rPr lang="en-PH" sz="1400" b="1" i="0">
              <a:latin typeface="Century Gothic" panose="020B0502020202020204" pitchFamily="34" charset="0"/>
            </a:rPr>
            <a:t>Classroom</a:t>
          </a:r>
          <a:r>
            <a:rPr lang="en-PH" sz="1400" b="1" i="0" baseline="0">
              <a:latin typeface="Century Gothic" panose="020B0502020202020204" pitchFamily="34" charset="0"/>
            </a:rPr>
            <a:t> Observable Objective/Indicator (COI) Rating:</a:t>
          </a:r>
          <a:endParaRPr lang="en-PH" sz="1400" b="1" i="0">
            <a:latin typeface="Century Gothic" panose="020B0502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r>
            <a:rPr lang="en-PH" sz="1400" b="0" i="0">
              <a:latin typeface="Century Gothic" panose="020B0502020202020204" pitchFamily="34" charset="0"/>
            </a:rPr>
            <a:t>To</a:t>
          </a:r>
          <a:r>
            <a:rPr lang="en-PH" sz="1400" b="0" i="0" baseline="0">
              <a:latin typeface="Century Gothic" panose="020B0502020202020204" pitchFamily="34" charset="0"/>
            </a:rPr>
            <a:t> g</a:t>
          </a:r>
          <a:r>
            <a:rPr lang="en-PH" sz="1400" b="0" i="0">
              <a:latin typeface="Century Gothic" panose="020B0502020202020204" pitchFamily="34" charset="0"/>
            </a:rPr>
            <a:t>et the rating for Quality,</a:t>
          </a:r>
          <a:r>
            <a:rPr lang="en-PH" sz="1400" b="0" i="0" baseline="0">
              <a:latin typeface="Century Gothic" panose="020B0502020202020204" pitchFamily="34" charset="0"/>
            </a:rPr>
            <a:t> encode </a:t>
          </a:r>
          <a:r>
            <a:rPr lang="en-PH" sz="1400" b="0" i="0">
              <a:latin typeface="Century Gothic" panose="020B0502020202020204" pitchFamily="34" charset="0"/>
            </a:rPr>
            <a:t>COT rating per observation period by doing the following steps:</a:t>
          </a:r>
        </a:p>
        <a:p>
          <a:pPr marL="0" marR="0" indent="0" algn="just" defTabSz="914400" eaLnBrk="1" fontAlgn="auto" latinLnBrk="0" hangingPunct="1">
            <a:lnSpc>
              <a:spcPct val="100000"/>
            </a:lnSpc>
            <a:spcBef>
              <a:spcPts val="0"/>
            </a:spcBef>
            <a:spcAft>
              <a:spcPts val="0"/>
            </a:spcAft>
            <a:buClrTx/>
            <a:buSzTx/>
            <a:buFontTx/>
            <a:buNone/>
            <a:tabLst/>
            <a:defRPr/>
          </a:pPr>
          <a:r>
            <a:rPr lang="en-PH" sz="1400" b="0" i="0">
              <a:latin typeface="Century Gothic" panose="020B0502020202020204" pitchFamily="34" charset="0"/>
            </a:rPr>
            <a:t>1) select the subject for COT; 2) input the COT rating per objective; and </a:t>
          </a:r>
          <a:r>
            <a:rPr lang="en-PH" sz="1400" b="0" i="0">
              <a:solidFill>
                <a:schemeClr val="tx1"/>
              </a:solidFill>
              <a:latin typeface="Century Gothic" panose="020B0502020202020204" pitchFamily="34" charset="0"/>
            </a:rPr>
            <a:t>3) input the date of observation</a:t>
          </a:r>
          <a:r>
            <a:rPr lang="en-PH" sz="1400" b="0" i="0">
              <a:latin typeface="Century Gothic" panose="020B0502020202020204" pitchFamily="34" charset="0"/>
            </a:rPr>
            <a:t>.  </a:t>
          </a:r>
        </a:p>
        <a:p>
          <a:pPr marL="0" marR="0" indent="0" algn="just" defTabSz="914400" eaLnBrk="1" fontAlgn="auto" latinLnBrk="0" hangingPunct="1">
            <a:lnSpc>
              <a:spcPct val="100000"/>
            </a:lnSpc>
            <a:spcBef>
              <a:spcPts val="0"/>
            </a:spcBef>
            <a:spcAft>
              <a:spcPts val="0"/>
            </a:spcAft>
            <a:buClrTx/>
            <a:buSzTx/>
            <a:buFontTx/>
            <a:buNone/>
            <a:tabLst/>
            <a:defRPr/>
          </a:pPr>
          <a:endParaRPr lang="en-PH" sz="1400" b="0" i="0">
            <a:latin typeface="Century Gothic" panose="020B0502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r>
            <a:rPr lang="en-PH" sz="1400" b="0" i="0">
              <a:latin typeface="Century Gothic" panose="020B0502020202020204" pitchFamily="34" charset="0"/>
            </a:rPr>
            <a:t>Once all available COT ratings are inputted, encode your rating for Efficiency.</a:t>
          </a:r>
          <a:endParaRPr lang="en-PH" sz="1400" b="0" i="1">
            <a:latin typeface="Century Gothic" panose="020B0502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endParaRPr lang="en-PH" sz="1400" b="0" i="1">
            <a:latin typeface="Century Gothic" panose="020B0502020202020204" pitchFamily="34" charset="0"/>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PH" sz="1400" b="0" i="1">
              <a:latin typeface="Century Gothic" panose="020B0502020202020204" pitchFamily="34" charset="0"/>
            </a:rPr>
            <a:t>Note: This form automatically transmutes the COT rating to its corresponding RPMS 5-point scale. </a:t>
          </a:r>
        </a:p>
        <a:p>
          <a:pPr marL="0" marR="0" indent="0" algn="just" defTabSz="914400" eaLnBrk="1" fontAlgn="auto" latinLnBrk="0" hangingPunct="1">
            <a:lnSpc>
              <a:spcPct val="100000"/>
            </a:lnSpc>
            <a:spcBef>
              <a:spcPts val="0"/>
            </a:spcBef>
            <a:spcAft>
              <a:spcPts val="0"/>
            </a:spcAft>
            <a:buClrTx/>
            <a:buSzTx/>
            <a:buFontTx/>
            <a:buNone/>
            <a:tabLst/>
            <a:defRPr/>
          </a:pPr>
          <a:endParaRPr lang="en-PH" sz="1400" b="0" i="1">
            <a:latin typeface="Century Gothic" panose="020B0502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r>
            <a:rPr lang="en-PH" sz="1400" b="1" i="0">
              <a:latin typeface="Century Gothic" panose="020B0502020202020204" pitchFamily="34" charset="0"/>
            </a:rPr>
            <a:t>Non-Classroom</a:t>
          </a:r>
          <a:r>
            <a:rPr lang="en-PH" sz="1400" b="1" i="0" baseline="0">
              <a:latin typeface="Century Gothic" panose="020B0502020202020204" pitchFamily="34" charset="0"/>
            </a:rPr>
            <a:t> Observable Objective/Indicator (</a:t>
          </a:r>
          <a:r>
            <a:rPr lang="en-PH" sz="1400" b="1" i="0">
              <a:latin typeface="Century Gothic" panose="020B0502020202020204" pitchFamily="34" charset="0"/>
            </a:rPr>
            <a:t>NCOI) Rating:</a:t>
          </a:r>
        </a:p>
        <a:p>
          <a:pPr marL="0" marR="0" indent="0" algn="just" defTabSz="914400" eaLnBrk="1" fontAlgn="auto" latinLnBrk="0" hangingPunct="1">
            <a:lnSpc>
              <a:spcPct val="100000"/>
            </a:lnSpc>
            <a:spcBef>
              <a:spcPts val="0"/>
            </a:spcBef>
            <a:spcAft>
              <a:spcPts val="0"/>
            </a:spcAft>
            <a:buClrTx/>
            <a:buSzTx/>
            <a:buFontTx/>
            <a:buNone/>
            <a:tabLst/>
            <a:defRPr/>
          </a:pPr>
          <a:r>
            <a:rPr lang="en-PH" sz="1400" b="0" i="0">
              <a:latin typeface="Century Gothic" panose="020B0502020202020204" pitchFamily="34" charset="0"/>
            </a:rPr>
            <a:t>Encode</a:t>
          </a:r>
          <a:r>
            <a:rPr lang="en-PH" sz="1400" b="0" i="0" baseline="0">
              <a:latin typeface="Century Gothic" panose="020B0502020202020204" pitchFamily="34" charset="0"/>
            </a:rPr>
            <a:t> the rating for Quality, Efficiency, and/or Timeliness for each of the NCOI objectives.</a:t>
          </a:r>
          <a:endParaRPr lang="en-PH" sz="1400" b="0" i="1">
            <a:latin typeface="Century Gothic" panose="020B0502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endParaRPr lang="en-PH" sz="1400" b="0" i="1">
            <a:latin typeface="Century Gothic" panose="020B0502020202020204" pitchFamily="34" charset="0"/>
          </a:endParaRPr>
        </a:p>
        <a:p>
          <a:pPr marL="0" marR="0" indent="0" algn="just" defTabSz="914400" eaLnBrk="1" fontAlgn="auto" latinLnBrk="0" hangingPunct="1">
            <a:lnSpc>
              <a:spcPct val="100000"/>
            </a:lnSpc>
            <a:spcBef>
              <a:spcPts val="0"/>
            </a:spcBef>
            <a:spcAft>
              <a:spcPts val="0"/>
            </a:spcAft>
            <a:buClrTx/>
            <a:buSzTx/>
            <a:buFontTx/>
            <a:buNone/>
            <a:tabLst/>
            <a:defRPr/>
          </a:pPr>
          <a:r>
            <a:rPr lang="en-PH" sz="1400" b="0" i="0">
              <a:latin typeface="Century Gothic" panose="020B0502020202020204" pitchFamily="34" charset="0"/>
            </a:rPr>
            <a:t>When QET ratings for all</a:t>
          </a:r>
          <a:r>
            <a:rPr lang="en-PH" sz="1400" b="0" i="0" baseline="0">
              <a:latin typeface="Century Gothic" panose="020B0502020202020204" pitchFamily="34" charset="0"/>
            </a:rPr>
            <a:t> Objectives </a:t>
          </a:r>
          <a:r>
            <a:rPr lang="en-PH" sz="1400" b="0" i="0">
              <a:latin typeface="Century Gothic" panose="020B0502020202020204" pitchFamily="34" charset="0"/>
            </a:rPr>
            <a:t>are encoded, click Finalize Part 1. Give the file copy to the teacher concerned. The teacher shall accomplish Parts 2</a:t>
          </a:r>
          <a:r>
            <a:rPr lang="en-PH" sz="1400" b="0" i="0" baseline="0">
              <a:latin typeface="Century Gothic" panose="020B0502020202020204" pitchFamily="34" charset="0"/>
            </a:rPr>
            <a:t> &amp; </a:t>
          </a:r>
          <a:r>
            <a:rPr lang="en-PH" sz="1400" b="0" i="0">
              <a:latin typeface="Century Gothic" panose="020B0502020202020204" pitchFamily="34" charset="0"/>
            </a:rPr>
            <a:t>4.</a:t>
          </a:r>
        </a:p>
      </xdr:txBody>
    </xdr:sp>
    <xdr:clientData/>
  </xdr:twoCellAnchor>
  <mc:AlternateContent xmlns:mc="http://schemas.openxmlformats.org/markup-compatibility/2006">
    <mc:Choice xmlns:a14="http://schemas.microsoft.com/office/drawing/2010/main" Requires="a14">
      <xdr:twoCellAnchor editAs="oneCell">
        <xdr:from>
          <xdr:col>12</xdr:col>
          <xdr:colOff>914400</xdr:colOff>
          <xdr:row>70</xdr:row>
          <xdr:rowOff>0</xdr:rowOff>
        </xdr:from>
        <xdr:to>
          <xdr:col>21</xdr:col>
          <xdr:colOff>495300</xdr:colOff>
          <xdr:row>88</xdr:row>
          <xdr:rowOff>66675</xdr:rowOff>
        </xdr:to>
        <xdr:sp macro="" textlink="">
          <xdr:nvSpPr>
            <xdr:cNvPr id="33830" name="Group Box 38" hidden="1">
              <a:extLst>
                <a:ext uri="{63B3BB69-23CF-44E3-9099-C40C66FF867C}">
                  <a14:compatExt spid="_x0000_s33830"/>
                </a:ext>
                <a:ext uri="{FF2B5EF4-FFF2-40B4-BE49-F238E27FC236}">
                  <a16:creationId xmlns:a16="http://schemas.microsoft.com/office/drawing/2014/main" id="{00000000-0008-0000-1600-0000268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19</xdr:col>
      <xdr:colOff>304800</xdr:colOff>
      <xdr:row>69</xdr:row>
      <xdr:rowOff>190500</xdr:rowOff>
    </xdr:from>
    <xdr:to>
      <xdr:col>26</xdr:col>
      <xdr:colOff>508000</xdr:colOff>
      <xdr:row>69</xdr:row>
      <xdr:rowOff>1358900</xdr:rowOff>
    </xdr:to>
    <xdr:sp macro="" textlink="">
      <xdr:nvSpPr>
        <xdr:cNvPr id="47" name="正方形/長方形 10">
          <a:extLst>
            <a:ext uri="{FF2B5EF4-FFF2-40B4-BE49-F238E27FC236}">
              <a16:creationId xmlns:a16="http://schemas.microsoft.com/office/drawing/2014/main" id="{00000000-0008-0000-1600-00002F000000}"/>
            </a:ext>
          </a:extLst>
        </xdr:cNvPr>
        <xdr:cNvSpPr/>
      </xdr:nvSpPr>
      <xdr:spPr>
        <a:xfrm>
          <a:off x="5433060" y="15300960"/>
          <a:ext cx="5377180" cy="1168400"/>
        </a:xfrm>
        <a:prstGeom prst="rect">
          <a:avLst/>
        </a:prstGeom>
        <a:solidFill>
          <a:schemeClr val="bg1"/>
        </a:solidFill>
        <a:ln w="28575">
          <a:solidFill>
            <a:schemeClr val="tx1"/>
          </a:solidFill>
        </a:ln>
      </xdr:spPr>
      <xdr:txBody>
        <a:bodyPr wrap="square">
          <a:noAutofit/>
        </a:bodyPr>
        <a:lstStyle>
          <a:defPPr>
            <a:defRPr lang="ja-JP"/>
          </a:defPPr>
          <a:lvl1pPr marL="0" algn="l" defTabSz="914400" rtl="0" eaLnBrk="1" latinLnBrk="0" hangingPunct="1">
            <a:defRPr kumimoji="1" sz="1800" kern="1200">
              <a:solidFill>
                <a:schemeClr val="tx1"/>
              </a:solidFill>
              <a:latin typeface="+mn-lt"/>
              <a:ea typeface="+mn-ea"/>
              <a:cs typeface="+mn-cs"/>
            </a:defRPr>
          </a:lvl1pPr>
          <a:lvl2pPr marL="457200" algn="l" defTabSz="914400" rtl="0" eaLnBrk="1" latinLnBrk="0" hangingPunct="1">
            <a:defRPr kumimoji="1" sz="1800" kern="1200">
              <a:solidFill>
                <a:schemeClr val="tx1"/>
              </a:solidFill>
              <a:latin typeface="+mn-lt"/>
              <a:ea typeface="+mn-ea"/>
              <a:cs typeface="+mn-cs"/>
            </a:defRPr>
          </a:lvl2pPr>
          <a:lvl3pPr marL="914400" algn="l" defTabSz="914400" rtl="0" eaLnBrk="1" latinLnBrk="0" hangingPunct="1">
            <a:defRPr kumimoji="1" sz="1800" kern="1200">
              <a:solidFill>
                <a:schemeClr val="tx1"/>
              </a:solidFill>
              <a:latin typeface="+mn-lt"/>
              <a:ea typeface="+mn-ea"/>
              <a:cs typeface="+mn-cs"/>
            </a:defRPr>
          </a:lvl3pPr>
          <a:lvl4pPr marL="1371600" algn="l" defTabSz="914400" rtl="0" eaLnBrk="1" latinLnBrk="0" hangingPunct="1">
            <a:defRPr kumimoji="1" sz="1800" kern="1200">
              <a:solidFill>
                <a:schemeClr val="tx1"/>
              </a:solidFill>
              <a:latin typeface="+mn-lt"/>
              <a:ea typeface="+mn-ea"/>
              <a:cs typeface="+mn-cs"/>
            </a:defRPr>
          </a:lvl4pPr>
          <a:lvl5pPr marL="1828800" algn="l" defTabSz="914400" rtl="0" eaLnBrk="1" latinLnBrk="0" hangingPunct="1">
            <a:defRPr kumimoji="1" sz="1800" kern="1200">
              <a:solidFill>
                <a:schemeClr val="tx1"/>
              </a:solidFill>
              <a:latin typeface="+mn-lt"/>
              <a:ea typeface="+mn-ea"/>
              <a:cs typeface="+mn-cs"/>
            </a:defRPr>
          </a:lvl5pPr>
          <a:lvl6pPr marL="2286000" algn="l" defTabSz="914400" rtl="0" eaLnBrk="1" latinLnBrk="0" hangingPunct="1">
            <a:defRPr kumimoji="1" sz="1800" kern="1200">
              <a:solidFill>
                <a:schemeClr val="tx1"/>
              </a:solidFill>
              <a:latin typeface="+mn-lt"/>
              <a:ea typeface="+mn-ea"/>
              <a:cs typeface="+mn-cs"/>
            </a:defRPr>
          </a:lvl6pPr>
          <a:lvl7pPr marL="2743200" algn="l" defTabSz="914400" rtl="0" eaLnBrk="1" latinLnBrk="0" hangingPunct="1">
            <a:defRPr kumimoji="1" sz="1800" kern="1200">
              <a:solidFill>
                <a:schemeClr val="tx1"/>
              </a:solidFill>
              <a:latin typeface="+mn-lt"/>
              <a:ea typeface="+mn-ea"/>
              <a:cs typeface="+mn-cs"/>
            </a:defRPr>
          </a:lvl7pPr>
          <a:lvl8pPr marL="3200400" algn="l" defTabSz="914400" rtl="0" eaLnBrk="1" latinLnBrk="0" hangingPunct="1">
            <a:defRPr kumimoji="1" sz="1800" kern="1200">
              <a:solidFill>
                <a:schemeClr val="tx1"/>
              </a:solidFill>
              <a:latin typeface="+mn-lt"/>
              <a:ea typeface="+mn-ea"/>
              <a:cs typeface="+mn-cs"/>
            </a:defRPr>
          </a:lvl8pPr>
          <a:lvl9pPr marL="3657600" algn="l" defTabSz="914400" rtl="0" eaLnBrk="1" latinLnBrk="0" hangingPunct="1">
            <a:defRPr kumimoji="1" sz="1800" kern="1200">
              <a:solidFill>
                <a:schemeClr val="tx1"/>
              </a:solidFill>
              <a:latin typeface="+mn-lt"/>
              <a:ea typeface="+mn-ea"/>
              <a:cs typeface="+mn-cs"/>
            </a:defRPr>
          </a:lvl9pPr>
        </a:lstStyle>
        <a:p>
          <a:r>
            <a:rPr lang="en-US" altLang="ja-JP" sz="1400" b="1" i="1">
              <a:latin typeface="Century Gothic" panose="020B0502020202020204" pitchFamily="34" charset="0"/>
            </a:rPr>
            <a:t>Note:</a:t>
          </a:r>
          <a:endParaRPr lang="en-US" altLang="ja-JP" sz="1400" b="0" i="0">
            <a:latin typeface="Century Gothic" panose="020B0502020202020204" pitchFamily="34" charset="0"/>
          </a:endParaRPr>
        </a:p>
        <a:p>
          <a:r>
            <a:rPr lang="en-US" altLang="ja-JP" sz="1400">
              <a:latin typeface="Century Gothic" panose="020B0502020202020204" pitchFamily="34" charset="0"/>
            </a:rPr>
            <a:t>When COT and QET ratings are encoded, click Finalize Part 1. Give the file copy to the teacher concerned. The teacher shall accomplish Parts 2</a:t>
          </a:r>
          <a:r>
            <a:rPr lang="en-US" altLang="ja-JP" sz="1400" baseline="0">
              <a:latin typeface="Century Gothic" panose="020B0502020202020204" pitchFamily="34" charset="0"/>
            </a:rPr>
            <a:t> &amp; </a:t>
          </a:r>
          <a:r>
            <a:rPr lang="en-US" altLang="ja-JP" sz="1400">
              <a:latin typeface="Century Gothic" panose="020B0502020202020204" pitchFamily="34" charset="0"/>
            </a:rPr>
            <a:t>4. </a:t>
          </a:r>
        </a:p>
      </xdr:txBody>
    </xdr:sp>
    <xdr:clientData/>
  </xdr:twoCellAnchor>
  <xdr:twoCellAnchor editAs="oneCell">
    <xdr:from>
      <xdr:col>28</xdr:col>
      <xdr:colOff>289549</xdr:colOff>
      <xdr:row>0</xdr:row>
      <xdr:rowOff>101600</xdr:rowOff>
    </xdr:from>
    <xdr:to>
      <xdr:col>30</xdr:col>
      <xdr:colOff>419374</xdr:colOff>
      <xdr:row>3</xdr:row>
      <xdr:rowOff>282949</xdr:rowOff>
    </xdr:to>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625549" y="101600"/>
          <a:ext cx="1399825" cy="943742"/>
        </a:xfrm>
        <a:prstGeom prst="rect">
          <a:avLst/>
        </a:prstGeom>
      </xdr:spPr>
    </xdr:pic>
    <xdr:clientData/>
  </xdr:twoCellAnchor>
  <xdr:twoCellAnchor editAs="oneCell">
    <xdr:from>
      <xdr:col>15</xdr:col>
      <xdr:colOff>631716</xdr:colOff>
      <xdr:row>0</xdr:row>
      <xdr:rowOff>164277</xdr:rowOff>
    </xdr:from>
    <xdr:to>
      <xdr:col>17</xdr:col>
      <xdr:colOff>8835</xdr:colOff>
      <xdr:row>3</xdr:row>
      <xdr:rowOff>164707</xdr:rowOff>
    </xdr:to>
    <xdr:pic>
      <xdr:nvPicPr>
        <xdr:cNvPr id="3" name="Pictur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17116" y="164277"/>
          <a:ext cx="1510718" cy="76282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548640</xdr:colOff>
      <xdr:row>5</xdr:row>
      <xdr:rowOff>22860</xdr:rowOff>
    </xdr:from>
    <xdr:to>
      <xdr:col>5</xdr:col>
      <xdr:colOff>45720</xdr:colOff>
      <xdr:row>7</xdr:row>
      <xdr:rowOff>144780</xdr:rowOff>
    </xdr:to>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916940" y="1483360"/>
          <a:ext cx="11104880" cy="50292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fil-PH" sz="1200" b="1">
              <a:solidFill>
                <a:schemeClr val="dk1"/>
              </a:solidFill>
              <a:effectLst/>
              <a:latin typeface="Century Gothic" panose="020B0502020202020204" pitchFamily="34" charset="0"/>
              <a:ea typeface="+mn-ea"/>
              <a:cs typeface="+mn-cs"/>
            </a:rPr>
            <a:t>INSTRUCTIONS: Please tick the box of the competency indicators that you demonstrated during the performance cycle.</a:t>
          </a:r>
          <a:endParaRPr lang="en-PH" sz="1200" b="1">
            <a:latin typeface="Century Gothic" panose="020B0502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142875</xdr:colOff>
          <xdr:row>11</xdr:row>
          <xdr:rowOff>0</xdr:rowOff>
        </xdr:from>
        <xdr:to>
          <xdr:col>4</xdr:col>
          <xdr:colOff>0</xdr:colOff>
          <xdr:row>11</xdr:row>
          <xdr:rowOff>381000</xdr:rowOff>
        </xdr:to>
        <xdr:sp macro="" textlink="">
          <xdr:nvSpPr>
            <xdr:cNvPr id="167937" name="Check Box 1" hidden="1">
              <a:extLst>
                <a:ext uri="{63B3BB69-23CF-44E3-9099-C40C66FF867C}">
                  <a14:compatExt spid="_x0000_s167937"/>
                </a:ext>
                <a:ext uri="{FF2B5EF4-FFF2-40B4-BE49-F238E27FC236}">
                  <a16:creationId xmlns:a16="http://schemas.microsoft.com/office/drawing/2014/main" id="{00000000-0008-0000-1700-000001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12</xdr:row>
          <xdr:rowOff>0</xdr:rowOff>
        </xdr:from>
        <xdr:to>
          <xdr:col>4</xdr:col>
          <xdr:colOff>0</xdr:colOff>
          <xdr:row>12</xdr:row>
          <xdr:rowOff>381000</xdr:rowOff>
        </xdr:to>
        <xdr:sp macro="" textlink="">
          <xdr:nvSpPr>
            <xdr:cNvPr id="167938" name="Check Box 2" hidden="1">
              <a:extLst>
                <a:ext uri="{63B3BB69-23CF-44E3-9099-C40C66FF867C}">
                  <a14:compatExt spid="_x0000_s167938"/>
                </a:ext>
                <a:ext uri="{FF2B5EF4-FFF2-40B4-BE49-F238E27FC236}">
                  <a16:creationId xmlns:a16="http://schemas.microsoft.com/office/drawing/2014/main" id="{00000000-0008-0000-1700-000002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13</xdr:row>
          <xdr:rowOff>0</xdr:rowOff>
        </xdr:from>
        <xdr:to>
          <xdr:col>4</xdr:col>
          <xdr:colOff>0</xdr:colOff>
          <xdr:row>13</xdr:row>
          <xdr:rowOff>381000</xdr:rowOff>
        </xdr:to>
        <xdr:sp macro="" textlink="">
          <xdr:nvSpPr>
            <xdr:cNvPr id="167939" name="Check Box 3" hidden="1">
              <a:extLst>
                <a:ext uri="{63B3BB69-23CF-44E3-9099-C40C66FF867C}">
                  <a14:compatExt spid="_x0000_s167939"/>
                </a:ext>
                <a:ext uri="{FF2B5EF4-FFF2-40B4-BE49-F238E27FC236}">
                  <a16:creationId xmlns:a16="http://schemas.microsoft.com/office/drawing/2014/main" id="{00000000-0008-0000-1700-000003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14</xdr:row>
          <xdr:rowOff>0</xdr:rowOff>
        </xdr:from>
        <xdr:to>
          <xdr:col>4</xdr:col>
          <xdr:colOff>0</xdr:colOff>
          <xdr:row>14</xdr:row>
          <xdr:rowOff>381000</xdr:rowOff>
        </xdr:to>
        <xdr:sp macro="" textlink="">
          <xdr:nvSpPr>
            <xdr:cNvPr id="167940" name="Check Box 4" hidden="1">
              <a:extLst>
                <a:ext uri="{63B3BB69-23CF-44E3-9099-C40C66FF867C}">
                  <a14:compatExt spid="_x0000_s167940"/>
                </a:ext>
                <a:ext uri="{FF2B5EF4-FFF2-40B4-BE49-F238E27FC236}">
                  <a16:creationId xmlns:a16="http://schemas.microsoft.com/office/drawing/2014/main" id="{00000000-0008-0000-1700-000004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0</xdr:rowOff>
        </xdr:from>
        <xdr:to>
          <xdr:col>4</xdr:col>
          <xdr:colOff>0</xdr:colOff>
          <xdr:row>15</xdr:row>
          <xdr:rowOff>381000</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700-000005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19</xdr:row>
          <xdr:rowOff>0</xdr:rowOff>
        </xdr:from>
        <xdr:to>
          <xdr:col>4</xdr:col>
          <xdr:colOff>0</xdr:colOff>
          <xdr:row>19</xdr:row>
          <xdr:rowOff>381000</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700-000006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20</xdr:row>
          <xdr:rowOff>0</xdr:rowOff>
        </xdr:from>
        <xdr:to>
          <xdr:col>4</xdr:col>
          <xdr:colOff>0</xdr:colOff>
          <xdr:row>20</xdr:row>
          <xdr:rowOff>381000</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700-000007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21</xdr:row>
          <xdr:rowOff>0</xdr:rowOff>
        </xdr:from>
        <xdr:to>
          <xdr:col>4</xdr:col>
          <xdr:colOff>0</xdr:colOff>
          <xdr:row>21</xdr:row>
          <xdr:rowOff>381000</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700-000008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22</xdr:row>
          <xdr:rowOff>0</xdr:rowOff>
        </xdr:from>
        <xdr:to>
          <xdr:col>4</xdr:col>
          <xdr:colOff>0</xdr:colOff>
          <xdr:row>22</xdr:row>
          <xdr:rowOff>381000</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700-000009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23</xdr:row>
          <xdr:rowOff>0</xdr:rowOff>
        </xdr:from>
        <xdr:to>
          <xdr:col>4</xdr:col>
          <xdr:colOff>0</xdr:colOff>
          <xdr:row>23</xdr:row>
          <xdr:rowOff>381000</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700-00000A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27</xdr:row>
          <xdr:rowOff>9525</xdr:rowOff>
        </xdr:from>
        <xdr:to>
          <xdr:col>4</xdr:col>
          <xdr:colOff>0</xdr:colOff>
          <xdr:row>27</xdr:row>
          <xdr:rowOff>390525</xdr:rowOff>
        </xdr:to>
        <xdr:sp macro="" textlink="">
          <xdr:nvSpPr>
            <xdr:cNvPr id="167947" name="Check Box 11" hidden="1">
              <a:extLst>
                <a:ext uri="{63B3BB69-23CF-44E3-9099-C40C66FF867C}">
                  <a14:compatExt spid="_x0000_s167947"/>
                </a:ext>
                <a:ext uri="{FF2B5EF4-FFF2-40B4-BE49-F238E27FC236}">
                  <a16:creationId xmlns:a16="http://schemas.microsoft.com/office/drawing/2014/main" id="{00000000-0008-0000-1700-00000B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28</xdr:row>
          <xdr:rowOff>0</xdr:rowOff>
        </xdr:from>
        <xdr:to>
          <xdr:col>4</xdr:col>
          <xdr:colOff>0</xdr:colOff>
          <xdr:row>28</xdr:row>
          <xdr:rowOff>381000</xdr:rowOff>
        </xdr:to>
        <xdr:sp macro="" textlink="">
          <xdr:nvSpPr>
            <xdr:cNvPr id="167948" name="Check Box 12" hidden="1">
              <a:extLst>
                <a:ext uri="{63B3BB69-23CF-44E3-9099-C40C66FF867C}">
                  <a14:compatExt spid="_x0000_s167948"/>
                </a:ext>
                <a:ext uri="{FF2B5EF4-FFF2-40B4-BE49-F238E27FC236}">
                  <a16:creationId xmlns:a16="http://schemas.microsoft.com/office/drawing/2014/main" id="{00000000-0008-0000-1700-00000C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29</xdr:row>
          <xdr:rowOff>0</xdr:rowOff>
        </xdr:from>
        <xdr:to>
          <xdr:col>4</xdr:col>
          <xdr:colOff>0</xdr:colOff>
          <xdr:row>29</xdr:row>
          <xdr:rowOff>381000</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700-00000D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30</xdr:row>
          <xdr:rowOff>9525</xdr:rowOff>
        </xdr:from>
        <xdr:to>
          <xdr:col>4</xdr:col>
          <xdr:colOff>0</xdr:colOff>
          <xdr:row>30</xdr:row>
          <xdr:rowOff>390525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700-00000E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31</xdr:row>
          <xdr:rowOff>0</xdr:rowOff>
        </xdr:from>
        <xdr:to>
          <xdr:col>4</xdr:col>
          <xdr:colOff>0</xdr:colOff>
          <xdr:row>31</xdr:row>
          <xdr:rowOff>371475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700-00000F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35</xdr:row>
          <xdr:rowOff>9525</xdr:rowOff>
        </xdr:from>
        <xdr:to>
          <xdr:col>4</xdr:col>
          <xdr:colOff>9525</xdr:colOff>
          <xdr:row>35</xdr:row>
          <xdr:rowOff>390525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700-000010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36</xdr:row>
          <xdr:rowOff>0</xdr:rowOff>
        </xdr:from>
        <xdr:to>
          <xdr:col>4</xdr:col>
          <xdr:colOff>9525</xdr:colOff>
          <xdr:row>36</xdr:row>
          <xdr:rowOff>381000</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700-000011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37</xdr:row>
          <xdr:rowOff>0</xdr:rowOff>
        </xdr:from>
        <xdr:to>
          <xdr:col>4</xdr:col>
          <xdr:colOff>0</xdr:colOff>
          <xdr:row>37</xdr:row>
          <xdr:rowOff>381000</xdr:rowOff>
        </xdr:to>
        <xdr:sp macro="" textlink="">
          <xdr:nvSpPr>
            <xdr:cNvPr id="167954" name="Check Box 18" hidden="1">
              <a:extLst>
                <a:ext uri="{63B3BB69-23CF-44E3-9099-C40C66FF867C}">
                  <a14:compatExt spid="_x0000_s167954"/>
                </a:ext>
                <a:ext uri="{FF2B5EF4-FFF2-40B4-BE49-F238E27FC236}">
                  <a16:creationId xmlns:a16="http://schemas.microsoft.com/office/drawing/2014/main" id="{00000000-0008-0000-1700-000012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38</xdr:row>
          <xdr:rowOff>9525</xdr:rowOff>
        </xdr:from>
        <xdr:to>
          <xdr:col>4</xdr:col>
          <xdr:colOff>0</xdr:colOff>
          <xdr:row>38</xdr:row>
          <xdr:rowOff>390525</xdr:rowOff>
        </xdr:to>
        <xdr:sp macro="" textlink="">
          <xdr:nvSpPr>
            <xdr:cNvPr id="167955" name="Check Box 19" hidden="1">
              <a:extLst>
                <a:ext uri="{63B3BB69-23CF-44E3-9099-C40C66FF867C}">
                  <a14:compatExt spid="_x0000_s167955"/>
                </a:ext>
                <a:ext uri="{FF2B5EF4-FFF2-40B4-BE49-F238E27FC236}">
                  <a16:creationId xmlns:a16="http://schemas.microsoft.com/office/drawing/2014/main" id="{00000000-0008-0000-1700-000013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39</xdr:row>
          <xdr:rowOff>0</xdr:rowOff>
        </xdr:from>
        <xdr:to>
          <xdr:col>4</xdr:col>
          <xdr:colOff>0</xdr:colOff>
          <xdr:row>39</xdr:row>
          <xdr:rowOff>381000</xdr:rowOff>
        </xdr:to>
        <xdr:sp macro="" textlink="">
          <xdr:nvSpPr>
            <xdr:cNvPr id="167956" name="Check Box 20" hidden="1">
              <a:extLst>
                <a:ext uri="{63B3BB69-23CF-44E3-9099-C40C66FF867C}">
                  <a14:compatExt spid="_x0000_s167956"/>
                </a:ext>
                <a:ext uri="{FF2B5EF4-FFF2-40B4-BE49-F238E27FC236}">
                  <a16:creationId xmlns:a16="http://schemas.microsoft.com/office/drawing/2014/main" id="{00000000-0008-0000-1700-000014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43</xdr:row>
          <xdr:rowOff>0</xdr:rowOff>
        </xdr:from>
        <xdr:to>
          <xdr:col>4</xdr:col>
          <xdr:colOff>0</xdr:colOff>
          <xdr:row>43</xdr:row>
          <xdr:rowOff>381000</xdr:rowOff>
        </xdr:to>
        <xdr:sp macro="" textlink="">
          <xdr:nvSpPr>
            <xdr:cNvPr id="167957" name="Check Box 21" hidden="1">
              <a:extLst>
                <a:ext uri="{63B3BB69-23CF-44E3-9099-C40C66FF867C}">
                  <a14:compatExt spid="_x0000_s167957"/>
                </a:ext>
                <a:ext uri="{FF2B5EF4-FFF2-40B4-BE49-F238E27FC236}">
                  <a16:creationId xmlns:a16="http://schemas.microsoft.com/office/drawing/2014/main" id="{00000000-0008-0000-1700-000015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44</xdr:row>
          <xdr:rowOff>0</xdr:rowOff>
        </xdr:from>
        <xdr:to>
          <xdr:col>4</xdr:col>
          <xdr:colOff>0</xdr:colOff>
          <xdr:row>44</xdr:row>
          <xdr:rowOff>381000</xdr:rowOff>
        </xdr:to>
        <xdr:sp macro="" textlink="">
          <xdr:nvSpPr>
            <xdr:cNvPr id="167958" name="Check Box 22" hidden="1">
              <a:extLst>
                <a:ext uri="{63B3BB69-23CF-44E3-9099-C40C66FF867C}">
                  <a14:compatExt spid="_x0000_s167958"/>
                </a:ext>
                <a:ext uri="{FF2B5EF4-FFF2-40B4-BE49-F238E27FC236}">
                  <a16:creationId xmlns:a16="http://schemas.microsoft.com/office/drawing/2014/main" id="{00000000-0008-0000-1700-000016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45</xdr:row>
          <xdr:rowOff>0</xdr:rowOff>
        </xdr:from>
        <xdr:to>
          <xdr:col>4</xdr:col>
          <xdr:colOff>0</xdr:colOff>
          <xdr:row>45</xdr:row>
          <xdr:rowOff>381000</xdr:rowOff>
        </xdr:to>
        <xdr:sp macro="" textlink="">
          <xdr:nvSpPr>
            <xdr:cNvPr id="167959" name="Check Box 23" hidden="1">
              <a:extLst>
                <a:ext uri="{63B3BB69-23CF-44E3-9099-C40C66FF867C}">
                  <a14:compatExt spid="_x0000_s167959"/>
                </a:ext>
                <a:ext uri="{FF2B5EF4-FFF2-40B4-BE49-F238E27FC236}">
                  <a16:creationId xmlns:a16="http://schemas.microsoft.com/office/drawing/2014/main" id="{00000000-0008-0000-1700-000017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46</xdr:row>
          <xdr:rowOff>9525</xdr:rowOff>
        </xdr:from>
        <xdr:to>
          <xdr:col>4</xdr:col>
          <xdr:colOff>0</xdr:colOff>
          <xdr:row>46</xdr:row>
          <xdr:rowOff>390525</xdr:rowOff>
        </xdr:to>
        <xdr:sp macro="" textlink="">
          <xdr:nvSpPr>
            <xdr:cNvPr id="167960" name="Check Box 24" hidden="1">
              <a:extLst>
                <a:ext uri="{63B3BB69-23CF-44E3-9099-C40C66FF867C}">
                  <a14:compatExt spid="_x0000_s167960"/>
                </a:ext>
                <a:ext uri="{FF2B5EF4-FFF2-40B4-BE49-F238E27FC236}">
                  <a16:creationId xmlns:a16="http://schemas.microsoft.com/office/drawing/2014/main" id="{00000000-0008-0000-1700-000018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47</xdr:row>
          <xdr:rowOff>0</xdr:rowOff>
        </xdr:from>
        <xdr:to>
          <xdr:col>4</xdr:col>
          <xdr:colOff>0</xdr:colOff>
          <xdr:row>47</xdr:row>
          <xdr:rowOff>381000</xdr:rowOff>
        </xdr:to>
        <xdr:sp macro="" textlink="">
          <xdr:nvSpPr>
            <xdr:cNvPr id="167961" name="Check Box 25" hidden="1">
              <a:extLst>
                <a:ext uri="{63B3BB69-23CF-44E3-9099-C40C66FF867C}">
                  <a14:compatExt spid="_x0000_s167961"/>
                </a:ext>
                <a:ext uri="{FF2B5EF4-FFF2-40B4-BE49-F238E27FC236}">
                  <a16:creationId xmlns:a16="http://schemas.microsoft.com/office/drawing/2014/main" id="{00000000-0008-0000-1700-000019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51</xdr:row>
          <xdr:rowOff>0</xdr:rowOff>
        </xdr:from>
        <xdr:to>
          <xdr:col>4</xdr:col>
          <xdr:colOff>0</xdr:colOff>
          <xdr:row>51</xdr:row>
          <xdr:rowOff>371475</xdr:rowOff>
        </xdr:to>
        <xdr:sp macro="" textlink="">
          <xdr:nvSpPr>
            <xdr:cNvPr id="167962" name="Check Box 26" hidden="1">
              <a:extLst>
                <a:ext uri="{63B3BB69-23CF-44E3-9099-C40C66FF867C}">
                  <a14:compatExt spid="_x0000_s167962"/>
                </a:ext>
                <a:ext uri="{FF2B5EF4-FFF2-40B4-BE49-F238E27FC236}">
                  <a16:creationId xmlns:a16="http://schemas.microsoft.com/office/drawing/2014/main" id="{00000000-0008-0000-1700-00001A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52</xdr:row>
          <xdr:rowOff>0</xdr:rowOff>
        </xdr:from>
        <xdr:to>
          <xdr:col>4</xdr:col>
          <xdr:colOff>0</xdr:colOff>
          <xdr:row>52</xdr:row>
          <xdr:rowOff>381000</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700-00001B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53</xdr:row>
          <xdr:rowOff>9525</xdr:rowOff>
        </xdr:from>
        <xdr:to>
          <xdr:col>4</xdr:col>
          <xdr:colOff>0</xdr:colOff>
          <xdr:row>53</xdr:row>
          <xdr:rowOff>390525</xdr:rowOff>
        </xdr:to>
        <xdr:sp macro="" textlink="">
          <xdr:nvSpPr>
            <xdr:cNvPr id="167964" name="Check Box 28" hidden="1">
              <a:extLst>
                <a:ext uri="{63B3BB69-23CF-44E3-9099-C40C66FF867C}">
                  <a14:compatExt spid="_x0000_s167964"/>
                </a:ext>
                <a:ext uri="{FF2B5EF4-FFF2-40B4-BE49-F238E27FC236}">
                  <a16:creationId xmlns:a16="http://schemas.microsoft.com/office/drawing/2014/main" id="{00000000-0008-0000-1700-00001C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54</xdr:row>
          <xdr:rowOff>9525</xdr:rowOff>
        </xdr:from>
        <xdr:to>
          <xdr:col>4</xdr:col>
          <xdr:colOff>0</xdr:colOff>
          <xdr:row>54</xdr:row>
          <xdr:rowOff>390525</xdr:rowOff>
        </xdr:to>
        <xdr:sp macro="" textlink="">
          <xdr:nvSpPr>
            <xdr:cNvPr id="167965" name="Check Box 29" hidden="1">
              <a:extLst>
                <a:ext uri="{63B3BB69-23CF-44E3-9099-C40C66FF867C}">
                  <a14:compatExt spid="_x0000_s167965"/>
                </a:ext>
                <a:ext uri="{FF2B5EF4-FFF2-40B4-BE49-F238E27FC236}">
                  <a16:creationId xmlns:a16="http://schemas.microsoft.com/office/drawing/2014/main" id="{00000000-0008-0000-1700-00001D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55</xdr:row>
          <xdr:rowOff>0</xdr:rowOff>
        </xdr:from>
        <xdr:to>
          <xdr:col>4</xdr:col>
          <xdr:colOff>0</xdr:colOff>
          <xdr:row>55</xdr:row>
          <xdr:rowOff>381000</xdr:rowOff>
        </xdr:to>
        <xdr:sp macro="" textlink="">
          <xdr:nvSpPr>
            <xdr:cNvPr id="167966" name="Check Box 30" hidden="1">
              <a:extLst>
                <a:ext uri="{63B3BB69-23CF-44E3-9099-C40C66FF867C}">
                  <a14:compatExt spid="_x0000_s167966"/>
                </a:ext>
                <a:ext uri="{FF2B5EF4-FFF2-40B4-BE49-F238E27FC236}">
                  <a16:creationId xmlns:a16="http://schemas.microsoft.com/office/drawing/2014/main" id="{00000000-0008-0000-1700-00001E9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3476625</xdr:colOff>
          <xdr:row>88</xdr:row>
          <xdr:rowOff>85725</xdr:rowOff>
        </xdr:from>
        <xdr:to>
          <xdr:col>4</xdr:col>
          <xdr:colOff>6057900</xdr:colOff>
          <xdr:row>93</xdr:row>
          <xdr:rowOff>85725</xdr:rowOff>
        </xdr:to>
        <xdr:sp macro="" textlink="">
          <xdr:nvSpPr>
            <xdr:cNvPr id="167968" name="finalizeP2" hidden="1">
              <a:extLst>
                <a:ext uri="{63B3BB69-23CF-44E3-9099-C40C66FF867C}">
                  <a14:compatExt spid="_x0000_s167968"/>
                </a:ext>
                <a:ext uri="{FF2B5EF4-FFF2-40B4-BE49-F238E27FC236}">
                  <a16:creationId xmlns:a16="http://schemas.microsoft.com/office/drawing/2014/main" id="{00000000-0008-0000-1700-0000209002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PH" sz="2400" b="1" i="0" u="none" strike="noStrike" baseline="0">
                  <a:solidFill>
                    <a:srgbClr val="000000"/>
                  </a:solidFill>
                  <a:latin typeface="Calibri"/>
                  <a:cs typeface="Calibri"/>
                </a:rPr>
                <a:t>Finalize Part 2</a:t>
              </a:r>
            </a:p>
          </xdr:txBody>
        </xdr:sp>
        <xdr:clientData fPrintsWithSheet="0"/>
      </xdr:twoCellAnchor>
    </mc:Choice>
    <mc:Fallback/>
  </mc:AlternateContent>
  <xdr:twoCellAnchor editAs="oneCell">
    <xdr:from>
      <xdr:col>3</xdr:col>
      <xdr:colOff>254000</xdr:colOff>
      <xdr:row>0</xdr:row>
      <xdr:rowOff>139700</xdr:rowOff>
    </xdr:from>
    <xdr:to>
      <xdr:col>4</xdr:col>
      <xdr:colOff>1504946</xdr:colOff>
      <xdr:row>2</xdr:row>
      <xdr:rowOff>242123</xdr:rowOff>
    </xdr:to>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6100" y="139700"/>
          <a:ext cx="1517646" cy="762823"/>
        </a:xfrm>
        <a:prstGeom prst="rect">
          <a:avLst/>
        </a:prstGeom>
      </xdr:spPr>
    </xdr:pic>
    <xdr:clientData/>
  </xdr:twoCellAnchor>
  <xdr:twoCellAnchor editAs="oneCell">
    <xdr:from>
      <xdr:col>4</xdr:col>
      <xdr:colOff>7940964</xdr:colOff>
      <xdr:row>0</xdr:row>
      <xdr:rowOff>137391</xdr:rowOff>
    </xdr:from>
    <xdr:to>
      <xdr:col>5</xdr:col>
      <xdr:colOff>3691</xdr:colOff>
      <xdr:row>3</xdr:row>
      <xdr:rowOff>128633</xdr:rowOff>
    </xdr:to>
    <xdr:pic>
      <xdr:nvPicPr>
        <xdr:cNvPr id="4" name="Pictur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69764" y="137391"/>
          <a:ext cx="1406752" cy="943742"/>
        </a:xfrm>
        <a:prstGeom prst="rect">
          <a:avLst/>
        </a:prstGeom>
      </xdr:spPr>
    </xdr:pic>
    <xdr:clientData/>
  </xdr:twoCellAnchor>
  <xdr:twoCellAnchor>
    <xdr:from>
      <xdr:col>4</xdr:col>
      <xdr:colOff>2400300</xdr:colOff>
      <xdr:row>57</xdr:row>
      <xdr:rowOff>177800</xdr:rowOff>
    </xdr:from>
    <xdr:to>
      <xdr:col>4</xdr:col>
      <xdr:colOff>7302501</xdr:colOff>
      <xdr:row>57</xdr:row>
      <xdr:rowOff>1536700</xdr:rowOff>
    </xdr:to>
    <xdr:sp macro="" textlink="">
      <xdr:nvSpPr>
        <xdr:cNvPr id="5" name="TextBox 4">
          <a:extLst>
            <a:ext uri="{FF2B5EF4-FFF2-40B4-BE49-F238E27FC236}">
              <a16:creationId xmlns:a16="http://schemas.microsoft.com/office/drawing/2014/main" id="{00000000-0008-0000-1700-000005000000}"/>
            </a:ext>
          </a:extLst>
        </xdr:cNvPr>
        <xdr:cNvSpPr txBox="1"/>
      </xdr:nvSpPr>
      <xdr:spPr>
        <a:xfrm>
          <a:off x="4229100" y="19875500"/>
          <a:ext cx="4902201" cy="1358900"/>
        </a:xfrm>
        <a:prstGeom prst="rect">
          <a:avLst/>
        </a:prstGeom>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indent="0" algn="just" defTabSz="914400" eaLnBrk="1" fontAlgn="auto" latinLnBrk="0" hangingPunct="1">
            <a:lnSpc>
              <a:spcPct val="100000"/>
            </a:lnSpc>
            <a:spcBef>
              <a:spcPts val="0"/>
            </a:spcBef>
            <a:spcAft>
              <a:spcPts val="0"/>
            </a:spcAft>
            <a:buClrTx/>
            <a:buSzTx/>
            <a:buFontTx/>
            <a:buNone/>
            <a:tabLst/>
            <a:defRPr/>
          </a:pPr>
          <a:r>
            <a:rPr lang="en-PH" sz="1400" b="1" i="1">
              <a:latin typeface="Century Gothic" panose="020B0502020202020204" pitchFamily="34" charset="0"/>
            </a:rPr>
            <a:t>NOTE</a:t>
          </a:r>
          <a:r>
            <a:rPr lang="en-PH" sz="1400" b="1">
              <a:latin typeface="Century Gothic" panose="020B0502020202020204" pitchFamily="34" charset="0"/>
            </a:rPr>
            <a:t>:</a:t>
          </a:r>
          <a:r>
            <a:rPr lang="en-PH" sz="1400" baseline="0">
              <a:latin typeface="Century Gothic" panose="020B0502020202020204" pitchFamily="34" charset="0"/>
            </a:rPr>
            <a:t> </a:t>
          </a:r>
        </a:p>
        <a:p>
          <a:pPr marL="0" marR="0" indent="0" algn="just" defTabSz="914400" eaLnBrk="1" fontAlgn="auto" latinLnBrk="0" hangingPunct="1">
            <a:lnSpc>
              <a:spcPct val="100000"/>
            </a:lnSpc>
            <a:spcBef>
              <a:spcPts val="0"/>
            </a:spcBef>
            <a:spcAft>
              <a:spcPts val="0"/>
            </a:spcAft>
            <a:buClrTx/>
            <a:buSzTx/>
            <a:buFontTx/>
            <a:buNone/>
            <a:tabLst/>
            <a:defRPr/>
          </a:pPr>
          <a:r>
            <a:rPr lang="en-PH" sz="1400" baseline="0">
              <a:latin typeface="Century Gothic" panose="020B0502020202020204" pitchFamily="34" charset="0"/>
            </a:rPr>
            <a:t>Click Finalize Part 2 to save your data. You can now proceed to the preparation of the Part IV: Development Plan, based on the results of Part 1 and Part 2 of the IPCRF.</a:t>
          </a: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657225</xdr:colOff>
          <xdr:row>0</xdr:row>
          <xdr:rowOff>0</xdr:rowOff>
        </xdr:from>
        <xdr:to>
          <xdr:col>34</xdr:col>
          <xdr:colOff>276225</xdr:colOff>
          <xdr:row>1</xdr:row>
          <xdr:rowOff>76200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1800-0000013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200" b="0" i="0" u="none" strike="noStrike" baseline="0">
                  <a:solidFill>
                    <a:srgbClr val="000000"/>
                  </a:solidFill>
                  <a:latin typeface="Calibri"/>
                  <a:cs typeface="Calibri"/>
                </a:rPr>
                <a:t>Reset rows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xdr:colOff>
      <xdr:row>1</xdr:row>
      <xdr:rowOff>27410</xdr:rowOff>
    </xdr:from>
    <xdr:to>
      <xdr:col>5</xdr:col>
      <xdr:colOff>2010073</xdr:colOff>
      <xdr:row>1</xdr:row>
      <xdr:rowOff>1092200</xdr:rowOff>
    </xdr:to>
    <xdr:sp macro="" textlink="">
      <xdr:nvSpPr>
        <xdr:cNvPr id="2" name="TextBox 1">
          <a:extLst>
            <a:ext uri="{FF2B5EF4-FFF2-40B4-BE49-F238E27FC236}">
              <a16:creationId xmlns:a16="http://schemas.microsoft.com/office/drawing/2014/main" id="{00000000-0008-0000-1B00-000002000000}"/>
            </a:ext>
          </a:extLst>
        </xdr:cNvPr>
        <xdr:cNvSpPr txBox="1"/>
      </xdr:nvSpPr>
      <xdr:spPr>
        <a:xfrm>
          <a:off x="1" y="268710"/>
          <a:ext cx="11293772" cy="1064790"/>
        </a:xfrm>
        <a:prstGeom prst="rect">
          <a:avLst/>
        </a:prstGeom>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indent="0" algn="just" defTabSz="914400" eaLnBrk="1" fontAlgn="auto" latinLnBrk="0" hangingPunct="1">
            <a:lnSpc>
              <a:spcPct val="100000"/>
            </a:lnSpc>
            <a:spcBef>
              <a:spcPts val="0"/>
            </a:spcBef>
            <a:spcAft>
              <a:spcPts val="0"/>
            </a:spcAft>
            <a:buClrTx/>
            <a:buSzTx/>
            <a:buFontTx/>
            <a:buNone/>
            <a:tabLst/>
            <a:defRPr/>
          </a:pPr>
          <a:r>
            <a:rPr lang="en-PH" sz="1200" b="1">
              <a:latin typeface="Century Gothic" panose="020B0502020202020204" pitchFamily="34" charset="0"/>
            </a:rPr>
            <a:t>NOTE:</a:t>
          </a:r>
          <a:r>
            <a:rPr lang="en-PH" sz="1200" baseline="0">
              <a:latin typeface="Century Gothic" panose="020B0502020202020204" pitchFamily="34" charset="0"/>
            </a:rPr>
            <a:t> </a:t>
          </a:r>
        </a:p>
        <a:p>
          <a:pPr marL="0" marR="0" indent="0" algn="just" defTabSz="914400" eaLnBrk="1" fontAlgn="auto" latinLnBrk="0" hangingPunct="1">
            <a:lnSpc>
              <a:spcPct val="100000"/>
            </a:lnSpc>
            <a:spcBef>
              <a:spcPts val="0"/>
            </a:spcBef>
            <a:spcAft>
              <a:spcPts val="0"/>
            </a:spcAft>
            <a:buClrTx/>
            <a:buSzTx/>
            <a:buFontTx/>
            <a:buNone/>
            <a:tabLst/>
            <a:defRPr/>
          </a:pPr>
          <a:r>
            <a:rPr lang="en-PH" sz="1200" baseline="0">
              <a:latin typeface="Century Gothic" panose="020B0502020202020204" pitchFamily="34" charset="0"/>
            </a:rPr>
            <a:t>This sheet shall be accomplished during: i) Phase I: Performance Planning and Commitment, based on the results of e-SAT; and ii) Phase II: Performance Monitoring and Coaching, based on the agreements on the Performance Monitoring and Coaching Form and Mid-year Review Form; and iii) Phase IV: Performance Rewarding and Development Planning, based on the actual results of IPCRF.</a:t>
          </a:r>
        </a:p>
      </xdr:txBody>
    </xdr:sp>
    <xdr:clientData/>
  </xdr:twoCellAnchor>
  <mc:AlternateContent xmlns:mc="http://schemas.openxmlformats.org/markup-compatibility/2006">
    <mc:Choice xmlns:a14="http://schemas.microsoft.com/office/drawing/2010/main" Requires="a14">
      <xdr:twoCellAnchor>
        <xdr:from>
          <xdr:col>2</xdr:col>
          <xdr:colOff>838200</xdr:colOff>
          <xdr:row>37</xdr:row>
          <xdr:rowOff>28575</xdr:rowOff>
        </xdr:from>
        <xdr:to>
          <xdr:col>3</xdr:col>
          <xdr:colOff>1000125</xdr:colOff>
          <xdr:row>41</xdr:row>
          <xdr:rowOff>85725</xdr:rowOff>
        </xdr:to>
        <xdr:sp macro="" textlink="">
          <xdr:nvSpPr>
            <xdr:cNvPr id="81921" name="finalizeP4" hidden="1">
              <a:extLst>
                <a:ext uri="{63B3BB69-23CF-44E3-9099-C40C66FF867C}">
                  <a14:compatExt spid="_x0000_s81921"/>
                </a:ext>
                <a:ext uri="{FF2B5EF4-FFF2-40B4-BE49-F238E27FC236}">
                  <a16:creationId xmlns:a16="http://schemas.microsoft.com/office/drawing/2014/main" id="{00000000-0008-0000-1B00-00000140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PH" sz="2000" b="1" i="0" u="none" strike="noStrike" baseline="0">
                  <a:solidFill>
                    <a:srgbClr val="000000"/>
                  </a:solidFill>
                  <a:latin typeface="Calibri"/>
                  <a:cs typeface="Calibri"/>
                </a:rPr>
                <a:t>Finalize Part 4</a:t>
              </a:r>
            </a:p>
          </xdr:txBody>
        </xdr:sp>
        <xdr:clientData fPrintsWithSheet="0"/>
      </xdr:twoCellAnchor>
    </mc:Choice>
    <mc:Fallback/>
  </mc:AlternateContent>
  <xdr:twoCellAnchor>
    <xdr:from>
      <xdr:col>0</xdr:col>
      <xdr:colOff>162414</xdr:colOff>
      <xdr:row>28</xdr:row>
      <xdr:rowOff>90422</xdr:rowOff>
    </xdr:from>
    <xdr:to>
      <xdr:col>5</xdr:col>
      <xdr:colOff>1739179</xdr:colOff>
      <xdr:row>36</xdr:row>
      <xdr:rowOff>111760</xdr:rowOff>
    </xdr:to>
    <xdr:sp macro="" textlink="">
      <xdr:nvSpPr>
        <xdr:cNvPr id="5" name="TextBox 4">
          <a:extLst>
            <a:ext uri="{FF2B5EF4-FFF2-40B4-BE49-F238E27FC236}">
              <a16:creationId xmlns:a16="http://schemas.microsoft.com/office/drawing/2014/main" id="{00000000-0008-0000-1B00-000005000000}"/>
            </a:ext>
          </a:extLst>
        </xdr:cNvPr>
        <xdr:cNvSpPr txBox="1"/>
      </xdr:nvSpPr>
      <xdr:spPr>
        <a:xfrm>
          <a:off x="162414" y="6968742"/>
          <a:ext cx="10863005" cy="1809498"/>
        </a:xfrm>
        <a:prstGeom prst="rect">
          <a:avLst/>
        </a:prstGeom>
        <a:solidFill>
          <a:schemeClr val="bg1"/>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PH" sz="1400" b="1" i="1">
              <a:latin typeface="Century Gothic" panose="020B0502020202020204" pitchFamily="34" charset="0"/>
            </a:rPr>
            <a:t>NOTE</a:t>
          </a:r>
          <a:r>
            <a:rPr lang="en-PH" sz="1400" b="1">
              <a:latin typeface="Century Gothic" panose="020B0502020202020204" pitchFamily="34" charset="0"/>
            </a:rPr>
            <a:t>:</a:t>
          </a:r>
          <a:r>
            <a:rPr lang="en-PH" sz="1400" baseline="0">
              <a:latin typeface="Century Gothic" panose="020B0502020202020204" pitchFamily="34" charset="0"/>
            </a:rPr>
            <a:t> </a:t>
          </a:r>
        </a:p>
        <a:p>
          <a:pPr marL="0" marR="0" indent="0" algn="l" defTabSz="914400" eaLnBrk="1" fontAlgn="auto" latinLnBrk="0" hangingPunct="1">
            <a:lnSpc>
              <a:spcPct val="100000"/>
            </a:lnSpc>
            <a:spcBef>
              <a:spcPts val="0"/>
            </a:spcBef>
            <a:spcAft>
              <a:spcPts val="0"/>
            </a:spcAft>
            <a:buClrTx/>
            <a:buSzTx/>
            <a:buFontTx/>
            <a:buNone/>
            <a:tabLst/>
            <a:defRPr/>
          </a:pPr>
          <a:r>
            <a:rPr lang="en-PH" sz="1400" baseline="0">
              <a:latin typeface="Century Gothic" panose="020B0502020202020204" pitchFamily="34" charset="0"/>
            </a:rPr>
            <a:t>Finalize Part 1 or 2 to start using this form. Functional and Core Behavioral Competencies will appear automatically in the Strengths and Development Needs columns prioritized based on your finalized average ratings. </a:t>
          </a:r>
          <a:br>
            <a:rPr lang="en-PH" sz="1400" baseline="0">
              <a:latin typeface="Century Gothic" panose="020B0502020202020204" pitchFamily="34" charset="0"/>
            </a:rPr>
          </a:br>
          <a:br>
            <a:rPr lang="en-PH" sz="1400" baseline="0">
              <a:latin typeface="Century Gothic" panose="020B0502020202020204" pitchFamily="34" charset="0"/>
            </a:rPr>
          </a:br>
          <a:r>
            <a:rPr lang="en-PH" sz="1400" baseline="0">
              <a:latin typeface="Century Gothic" panose="020B0502020202020204" pitchFamily="34" charset="0"/>
            </a:rPr>
            <a:t>When all Parts of the IPCRF are accomplished, the Ratee must submit the file copy of his or her Electronic IPCRF  tool to the Department Head or School Head for the school-wide consolidation. He or she must print all the pages of this form and submit to the Personnel Division of the school to be attached to his or her 201 personnel file. </a:t>
          </a:r>
        </a:p>
      </xdr:txBody>
    </xdr:sp>
    <xdr:clientData/>
  </xdr:twoCellAnchor>
  <mc:AlternateContent xmlns:mc="http://schemas.openxmlformats.org/markup-compatibility/2006">
    <mc:Choice xmlns:a14="http://schemas.microsoft.com/office/drawing/2010/main" Requires="a14">
      <xdr:twoCellAnchor>
        <xdr:from>
          <xdr:col>21</xdr:col>
          <xdr:colOff>38100</xdr:colOff>
          <xdr:row>0</xdr:row>
          <xdr:rowOff>0</xdr:rowOff>
        </xdr:from>
        <xdr:to>
          <xdr:col>22</xdr:col>
          <xdr:colOff>504825</xdr:colOff>
          <xdr:row>1</xdr:row>
          <xdr:rowOff>142875</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B00-0000024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200" b="0" i="0" u="none" strike="noStrike" baseline="0">
                  <a:solidFill>
                    <a:srgbClr val="000000"/>
                  </a:solidFill>
                  <a:latin typeface="Calibri"/>
                  <a:cs typeface="Calibri"/>
                </a:rPr>
                <a:t>Reset rows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Paula Bianca Manas" id="{99762FD6-D040-41EB-9279-130B2B1FF7A5}" userId="Paula Bianca Manas"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979ACF4-31C0-4359-B0C3-00FE6F78F635}" name="meta" displayName="meta" ref="A1:B29" totalsRowShown="0" headerRowDxfId="340" dataDxfId="339">
  <autoFilter ref="A1:B29" xr:uid="{1AF58DBF-0364-9C40-B187-05CF01A56D91}"/>
  <tableColumns count="2">
    <tableColumn id="1" xr3:uid="{65CB93D2-586B-419B-A136-E9E622F87A86}" name="property" dataDxfId="338"/>
    <tableColumn id="2" xr3:uid="{0F1210A0-63D9-4A02-9437-18BAA9CFE8ED}" name="value" dataDxfId="337"/>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7FB810F-B3BA-4991-BDBD-C0BA93D77332}" name="school_attribs" displayName="school_attribs" ref="A1:M2" totalsRowShown="0">
  <autoFilter ref="A1:M2" xr:uid="{79AF9617-341E-4D4D-97F6-6C48A7FC0A55}"/>
  <tableColumns count="13">
    <tableColumn id="1" xr3:uid="{982F014A-B109-4088-B007-EAED9D9C375A}" name="uniquepersonnelid">
      <calculatedColumnFormula>demographics[[#This Row],[uniquepersonnelid]]</calculatedColumnFormula>
    </tableColumn>
    <tableColumn id="5" xr3:uid="{ECA645C8-94F3-2B43-8A23-A28D96B281CE}" name="rating_period">
      <calculatedColumnFormula>"SY "&amp;sy_start&amp;"-"&amp;sy_end</calculatedColumnFormula>
    </tableColumn>
    <tableColumn id="10" xr3:uid="{6090EAF9-E972-4FAE-81FB-B18A4EB19A19}" name="regionid">
      <calculatedColumnFormula>IFERROR(VLOOKUP(school_attribs[[#This Row],[region_name]],regions_vlookup,2,FALSE),"")</calculatedColumnFormula>
    </tableColumn>
    <tableColumn id="2" xr3:uid="{AF73EE32-300F-4BCB-A241-A9011A7E84A3}" name="divisionid">
      <calculatedColumnFormula>IFERROR(VLOOKUP(school_attribs[[#This Row],[division_name]],INDIRECT(school_attribs[[#This Row],[regionid]]&amp;"_vlookup"),2,FALSE),"")</calculatedColumnFormula>
    </tableColumn>
    <tableColumn id="3" xr3:uid="{AB60D638-5B9F-40D7-B73D-26C4A3951D17}" name="school_id">
      <calculatedColumnFormula>IF(ISBLANK(demographics_school_id),"",demographics_school_id)</calculatedColumnFormula>
    </tableColumn>
    <tableColumn id="11" xr3:uid="{447B9914-6741-4D76-BFB5-3655246F2C34}" name="teacherid">
      <calculatedColumnFormula>IF(ISBLANK(demographics_id),"",demographics_id)</calculatedColumnFormula>
    </tableColumn>
    <tableColumn id="12" xr3:uid="{7172E863-9035-F948-8DD4-17FF45BF7CAF}" name="region_name">
      <calculatedColumnFormula>IF(ISBLANK(demographics_region),"",demographics_region)</calculatedColumnFormula>
    </tableColumn>
    <tableColumn id="13" xr3:uid="{FDACD9FC-B3C6-344C-88C6-4C25FFA30873}" name="division_name">
      <calculatedColumnFormula>IF(ISBLANK(demographics_division),"",demographics_division)</calculatedColumnFormula>
    </tableColumn>
    <tableColumn id="6" xr3:uid="{C0161511-758F-41BA-A0C0-7A24A46A5944}" name="municipality">
      <calculatedColumnFormula>IF(ISBLANK(demographics_district),"",demographics_district)</calculatedColumnFormula>
    </tableColumn>
    <tableColumn id="4" xr3:uid="{A9238814-2BD7-4A3B-A991-9CC8257A90B8}" name="school_name">
      <calculatedColumnFormula>IF(ISBLANK(demographics_school_name),"",demographics_school_name)</calculatedColumnFormula>
    </tableColumn>
    <tableColumn id="7" xr3:uid="{6A412101-4DE0-454A-A3A1-766E7087DDA8}" name="school_type">
      <calculatedColumnFormula>IF(ISBLANK(demographics_school_type),"",demographics_school_type)</calculatedColumnFormula>
    </tableColumn>
    <tableColumn id="8" xr3:uid="{7C91DC0E-AE4E-4A2B-A965-4C10331B7436}" name="school_size">
      <calculatedColumnFormula>IF(ISBLANK(demographics_school_size),"",demographics_school_size)</calculatedColumnFormula>
    </tableColumn>
    <tableColumn id="9" xr3:uid="{FA7C52D8-2133-471C-9CC5-CDC017E19C86}" name="curricular_classification">
      <calculatedColumnFormula>IF(ISBLANK(demographics_classification),"",demographics_classification)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CEF794D-3F6C-425B-BE85-C68FEA27870F}" name="demographics" displayName="demographics" ref="A1:AV2" totalsRowShown="0">
  <autoFilter ref="A1:AV2" xr:uid="{28D28FFF-F02F-4A5E-931A-3AA6353D5947}"/>
  <tableColumns count="48">
    <tableColumn id="1" xr3:uid="{676A4494-3F1A-4D56-908D-2F1D25B0D755}" name="uniquepersonnelid">
      <calculatedColumnFormula>demographics[[#This Row],[divisionid]] &amp; IF(demographics[[#This Row],[school_id]]="","-ALS","-"&amp;demographics[[#This Row],[school_id]]) &amp; IF(OR(demographics[[#This Row],[teacherid]]="",demographics[[#This Row],[teacherid]]="NO EMPLOYEE NUMBER",demographics[[#This Row],[teacherid]]="NO EMPLOYEE ID",demographics[[#This Row],[teacherid]]="N/A",demographics[[#This Row],[teacherid]]="N\A",demographics[[#This Row],[teacherid]]="NA",demographics[[#This Row],[teacherid]]="NONE",demographics[[#This Row],[teacherid]]="NOT APPLICABLE"),"-TEMP"&amp;RANDBETWEEN(1000000,9999999),"-"&amp;demographics[[#This Row],[teacherid]])</calculatedColumnFormula>
    </tableColumn>
    <tableColumn id="10" xr3:uid="{A3A3E446-99BC-4675-83AD-58D29F56468D}" name="rating_period">
      <calculatedColumnFormula>"SY "&amp;sy_start&amp;"-"&amp;sy_end</calculatedColumnFormula>
    </tableColumn>
    <tableColumn id="13" xr3:uid="{7DE3DDED-DBE0-4114-BFAF-A0C9733BFBFC}" name="teacherid">
      <calculatedColumnFormula>IF(ISBLANK(demographics_id),"",UPPER(TRIM(demographics_id)))</calculatedColumnFormula>
    </tableColumn>
    <tableColumn id="32" xr3:uid="{493E08A5-45E6-40C7-AD05-667ED741FF5F}" name="regionid">
      <calculatedColumnFormula>school_attribs[[#This Row],[regionid]]</calculatedColumnFormula>
    </tableColumn>
    <tableColumn id="2" xr3:uid="{E2556362-AB1A-47AD-815A-D2A260F60B5D}" name="divisionid">
      <calculatedColumnFormula>school_attribs[[#This Row],[divisionid]]</calculatedColumnFormula>
    </tableColumn>
    <tableColumn id="3" xr3:uid="{B1921FD0-FEF7-47DF-9F47-57AB6B146B29}" name="school_id">
      <calculatedColumnFormula>school_attribs[[#This Row],[school_id]]</calculatedColumnFormula>
    </tableColumn>
    <tableColumn id="5" xr3:uid="{BC589673-3CFD-4E07-BF90-F0928CE1A37E}" name="lastname">
      <calculatedColumnFormula>IF(ISBLANK(demographics_lastname),"",demographics_lastname)</calculatedColumnFormula>
    </tableColumn>
    <tableColumn id="35" xr3:uid="{5195328B-22EC-B045-B42C-868F944D9E92}" name="firstname">
      <calculatedColumnFormula>IF(ISBLANK(demographics_firstname),"",demographics_firstname)</calculatedColumnFormula>
    </tableColumn>
    <tableColumn id="36" xr3:uid="{8806624F-AF29-6E4B-B65D-43C028D79D70}" name="middlename">
      <calculatedColumnFormula>IF(ISBLANK(demographics_middlename),"",demographics_middlename)</calculatedColumnFormula>
    </tableColumn>
    <tableColumn id="37" xr3:uid="{F8435951-D9D9-2549-B70F-C85ADFC3D877}" name="email">
      <calculatedColumnFormula>IF(ISBLANK(demographics_email),"",demographics_email)</calculatedColumnFormula>
    </tableColumn>
    <tableColumn id="48" xr3:uid="{F60E6983-F67C-4E40-AD5B-22C000BF8E26}" name="TIN">
      <calculatedColumnFormula>IF(ISBLANK(demographic_TIN),"",demographic_TIN)</calculatedColumnFormula>
    </tableColumn>
    <tableColumn id="33" xr3:uid="{93AD1D40-8FA0-411A-9044-984789E0F9EF}" name="career_stage">
      <calculatedColumnFormula>IF(ISBLANK(selected_career_stage),"P",IF(selected_career_stage="Highly Proficient","HP","P"))</calculatedColumnFormula>
    </tableColumn>
    <tableColumn id="34" xr3:uid="{49E1FBF2-748B-4461-99D5-B7A6F9AE679D}" name="teacher_type">
      <calculatedColumnFormula>IF(ISBLANK(selected_teacher_type),"",selected_teacher_type)</calculatedColumnFormula>
    </tableColumn>
    <tableColumn id="12" xr3:uid="{5E215636-35A4-4024-A92E-059D2DE86925}" name="position">
      <calculatedColumnFormula>IF(ISBLANK(demographics_position),"",demographics_position)</calculatedColumnFormula>
    </tableColumn>
    <tableColumn id="6" xr3:uid="{94A35B79-2003-4CE0-A895-AD0F31FD23D2}" name="level_taught">
      <calculatedColumnFormula>IF(ISBLANK(demographics_level),"",demographics_level)</calculatedColumnFormula>
    </tableColumn>
    <tableColumn id="15" xr3:uid="{287532F2-3C8F-49A8-812E-028F1C8778B9}" name="grade_level">
      <calculatedColumnFormula>IF(ISBLANK(demographics_grade),"",demographics_grade)</calculatedColumnFormula>
    </tableColumn>
    <tableColumn id="31" xr3:uid="{2EB53A95-3D82-4200-BCA3-29E60E5E50C0}" name="specialization">
      <calculatedColumnFormula>IF(ISBLANK(demographics_specialization),"",demographics_specialization)</calculatedColumnFormula>
    </tableColumn>
    <tableColumn id="14" xr3:uid="{578959C2-6859-4967-B2F9-C8EF93FCADB8}" name="subject_area">
      <calculatedColumnFormula>IF(demographics[[#This Row],[level_taught]]="Senior High School", IF(ISBLANK(demographics_strands),"",demographics_strands), IF(demographics[[#This Row],[level_taught]]="Kindergarten", "Kindergarten", IF(ISBLANK(demographics_subjects),"",demographics_subjects)))</calculatedColumnFormula>
    </tableColumn>
    <tableColumn id="24" xr3:uid="{6AB41BF0-3D18-482C-8EF5-1C44C1D5EB95}" name="employment_status">
      <calculatedColumnFormula>IF(ISBLANK(demographics_empstatus),"",demographics_empstatus)</calculatedColumnFormula>
    </tableColumn>
    <tableColumn id="25" xr3:uid="{1E1D537C-2833-47AA-8C0E-A3014B1A06A4}" name="age">
      <calculatedColumnFormula>IF(ISBLANK(demographics_age),"",demographics_age)</calculatedColumnFormula>
    </tableColumn>
    <tableColumn id="26" xr3:uid="{C9A6822A-9567-4274-AEA1-7DB0BE7B042F}" name="sex">
      <calculatedColumnFormula>IF(ISBLANK(demographics_sex),"",demographics_sex)</calculatedColumnFormula>
    </tableColumn>
    <tableColumn id="28" xr3:uid="{EC0C1640-28D4-4775-BAF6-CE35A8147FCE}" name="years_in_teaching">
      <calculatedColumnFormula>IF(ISBLANK(demographics_years),"",demographics_years)</calculatedColumnFormula>
    </tableColumn>
    <tableColumn id="29" xr3:uid="{6CA8A696-2DFC-48F0-9C0C-1EA14F92EA29}" name="highest_degree">
      <calculatedColumnFormula>IF(ISBLANK(demographics_degree),"",demographics_degree)</calculatedColumnFormula>
    </tableColumn>
    <tableColumn id="30" xr3:uid="{9D8B1FC8-86BE-435C-B5D4-6B98925F6F04}" name="degree">
      <calculatedColumnFormula>IF(ISBLANK(demographics_degreespecified),"",demographics_degreespecified)</calculatedColumnFormula>
    </tableColumn>
    <tableColumn id="16" xr3:uid="{3E73DE40-C020-B44A-8903-574BABEB22CD}" name="rating" dataDxfId="335">
      <calculatedColumnFormula>final_rating</calculatedColumnFormula>
    </tableColumn>
    <tableColumn id="11" xr3:uid="{D0C34E44-2CC2-5940-AD2F-AB5D3C182F10}" name="descriptive_rating">
      <calculatedColumnFormula>adjectival_rating</calculatedColumnFormula>
    </tableColumn>
    <tableColumn id="17" xr3:uid="{F814C2F2-E105-4045-AC10-38BFF0CEC96C}" name="self_mgt_rating">
      <calculatedColumnFormula>'PART 2'!B4</calculatedColumnFormula>
    </tableColumn>
    <tableColumn id="20" xr3:uid="{E203746A-2400-C341-A3D9-87AFD489E6C0}" name="teamwork_rating">
      <calculatedColumnFormula>'PART 2'!D4</calculatedColumnFormula>
    </tableColumn>
    <tableColumn id="21" xr3:uid="{67AD61FC-EED2-DF49-905F-6C2F03A17658}" name="prof_and_ethics_rating">
      <calculatedColumnFormula>'PART 2'!B10</calculatedColumnFormula>
    </tableColumn>
    <tableColumn id="22" xr3:uid="{D40A10B2-853C-E347-B86D-D9078F85FD3F}" name="service_orientation_rating">
      <calculatedColumnFormula>'PART 2'!D10</calculatedColumnFormula>
    </tableColumn>
    <tableColumn id="23" xr3:uid="{8823CA32-6B95-7541-ABB8-F9456E4863F9}" name="results_focus_rating">
      <calculatedColumnFormula>'PART 2'!B16</calculatedColumnFormula>
    </tableColumn>
    <tableColumn id="27" xr3:uid="{EA38120D-5C2A-7A4A-979D-D35E22108C76}" name="innovation_rating">
      <calculatedColumnFormula>'PART 2'!D16</calculatedColumnFormula>
    </tableColumn>
    <tableColumn id="7" xr3:uid="{2BCBED8E-6417-4D22-B58B-86D87EA0F510}" name="rater_lastname">
      <calculatedColumnFormula>IF(ISBLANK(encoding_rater_lastname),"",encoding_rater_lastname)</calculatedColumnFormula>
    </tableColumn>
    <tableColumn id="40" xr3:uid="{EEC9955A-0CA8-924D-A1B9-7CD28265FE09}" name="rater_firstname">
      <calculatedColumnFormula>IF(ISBLANK(encoding_rater_firstname),"",encoding_rater_firstname)</calculatedColumnFormula>
    </tableColumn>
    <tableColumn id="41" xr3:uid="{CAC37FF4-93E0-6548-9C42-5900C1AE6AD9}" name="rater_middlename">
      <calculatedColumnFormula>IF(ISBLANK(encoding_rater_middlename),"",encoding_rater_middlename)</calculatedColumnFormula>
    </tableColumn>
    <tableColumn id="8" xr3:uid="{5ABD913F-2997-4958-94A4-26159B39861F}" name="rater_position">
      <calculatedColumnFormula>IF(ISBLANK(encoding_rater_position),"",encoding_rater_position)</calculatedColumnFormula>
    </tableColumn>
    <tableColumn id="42" xr3:uid="{152C5DCB-8C23-1846-96A6-55388AE7916D}" name="rater_id"/>
    <tableColumn id="43" xr3:uid="{2F382460-64AD-514A-BFD5-85454FDBB2F7}" name="rater_email">
      <calculatedColumnFormula>IF(ISBLANK(encoding_rater_email),"",encoding_rater_email)</calculatedColumnFormula>
    </tableColumn>
    <tableColumn id="38" xr3:uid="{5309B9EF-E75F-456D-B22A-E2E2562F593B}" name="approving_authority_lastname">
      <calculatedColumnFormula>IF(ISBLANK(encoding_approver_lastname),"",encoding_approver_lastname)</calculatedColumnFormula>
    </tableColumn>
    <tableColumn id="44" xr3:uid="{23AB0EBA-4131-D044-84B2-413C5F0176F5}" name="approving_authority_firstname">
      <calculatedColumnFormula>IF(ISBLANK(encoding_approver_firstname),"",encoding_approver_firstname)</calculatedColumnFormula>
    </tableColumn>
    <tableColumn id="45" xr3:uid="{81BE9EA9-E344-684F-8A07-F4A77C5F082D}" name="approving_authority_middlename">
      <calculatedColumnFormula>IF(ISBLANK(encoding_approver_middlename),"",encoding_approver_middlename)</calculatedColumnFormula>
    </tableColumn>
    <tableColumn id="39" xr3:uid="{8A3D17E3-970F-4CC5-9364-401D38A3352B}" name="approving_authority_position">
      <calculatedColumnFormula>IF(ISBLANK(encoding_approver_position),"",encoding_approver_position)</calculatedColumnFormula>
    </tableColumn>
    <tableColumn id="46" xr3:uid="{EDA3B3A1-D091-4641-AF17-9B7F584914BC}" name="approving_authority_id"/>
    <tableColumn id="47" xr3:uid="{49AC94E0-0DF7-084C-BA38-812F9479B185}" name="approving_authority_email">
      <calculatedColumnFormula>IF(ISBLANK(encoding_approver_email),"",encoding_approver_email)</calculatedColumnFormula>
    </tableColumn>
    <tableColumn id="9" xr3:uid="{42D0626C-4603-4AB8-AE34-20BDF1FEB541}" name="date_of_review" dataDxfId="334">
      <calculatedColumnFormula>IF(ISBLANK(encoding_review_date),"",encoding_review_date)</calculatedColumnFormula>
    </tableColumn>
    <tableColumn id="18" xr3:uid="{F745F06E-7F0A-4838-B01C-F584308BE47A}" name="Part1_date_finalized" dataDxfId="333"/>
    <tableColumn id="19" xr3:uid="{36D75602-17DA-4E57-8791-8A1AC36A80B4}" name="Part2_date_finalized" dataDxfId="332"/>
    <tableColumn id="4" xr3:uid="{34864CCF-6814-5940-A80F-A8B52BC0F292}" name="Part4_date_finalized" dataDxfId="3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C469D88-2806-4261-8104-A6A5654CC618}" name="cot_data" displayName="cot_data" ref="A1:O42" totalsRowShown="0">
  <autoFilter ref="A1:O42" xr:uid="{12732066-46AA-4D60-B067-34F0261096B5}"/>
  <tableColumns count="15">
    <tableColumn id="4" xr3:uid="{B8678411-BBCF-42CB-B24A-69408AA6CCC9}" name="uniquepersonnelid" dataDxfId="330">
      <calculatedColumnFormula array="1">IF(cot_data[[#This Row],[objective_index]]="","",demographics[uniquepersonnelid])</calculatedColumnFormula>
    </tableColumn>
    <tableColumn id="12" xr3:uid="{23494F12-7E53-4347-80E9-C1FDB43ECBB6}" name="rating_period" dataDxfId="329">
      <calculatedColumnFormula>IF(cot_data[[#This Row],[objective_index]]="","","SY "&amp;sy_start&amp;"-"&amp;sy_end)</calculatedColumnFormula>
    </tableColumn>
    <tableColumn id="10" xr3:uid="{B46A1CB7-9F60-7547-8814-7F7DE754CEAB}" name="career_stage" dataDxfId="328">
      <calculatedColumnFormula>IF(cot_data[[#This Row],[objective_index]]="","",career_stage)</calculatedColumnFormula>
    </tableColumn>
    <tableColumn id="11" xr3:uid="{7F89E400-3602-354E-9755-6DD30ABDA9D7}" name="teacher_type" dataDxfId="327">
      <calculatedColumnFormula>IF(cot_data[[#This Row],[objective_index]]="","",teacher_type)</calculatedColumnFormula>
    </tableColumn>
    <tableColumn id="1" xr3:uid="{144E5DA7-0989-8B48-87BB-806EA938F58F}" name="objective_index" dataDxfId="326">
      <calculatedColumnFormula array="1">IFERROR(SMALL(IF((INDEX(COT_helper,,)),MATCH(ROW(COT_helper),ROW(COT_helper)),""),ROW(cot_data[[#This Row],[uniquepersonnelid]])-1),"")</calculatedColumnFormula>
    </tableColumn>
    <tableColumn id="38" xr3:uid="{57E618A3-77EA-CB4B-8DEF-D6A327AB7F5A}" name="objective_code" dataDxfId="325">
      <calculatedColumnFormula array="1">IF(cot_data[[#This Row],[objective_index]]="","",INDEX(coi_ncoi_select,cot_data[[#This Row],[objective_index]],1))</calculatedColumnFormula>
    </tableColumn>
    <tableColumn id="5" xr3:uid="{5E161DE7-F86F-453A-99B3-1C2DD2F8E20A}" name="cot1" dataDxfId="324">
      <calculatedColumnFormula array="1">IF(OR(cot_data[[#This Row],[objective_index]]="",required_cot&lt;1),"",IF(INDEX(encoding_COT1_ratings,cot_data[[#This Row],[objective_index]])="","",INDEX(encoding_COT1_ratings,cot_data[[#This Row],[objective_index]])))</calculatedColumnFormula>
    </tableColumn>
    <tableColumn id="6" xr3:uid="{9A27CA67-C706-4DF6-9C5E-38A4870732C4}" name="cot2" dataDxfId="323">
      <calculatedColumnFormula array="1">IF(OR(cot_data[[#This Row],[objective_index]]="",required_cot&lt;2),"",IF(INDEX(encoding_COT2_ratings,cot_data[[#This Row],[objective_index]])="","",INDEX(encoding_COT2_ratings,cot_data[[#This Row],[objective_index]])))</calculatedColumnFormula>
    </tableColumn>
    <tableColumn id="7" xr3:uid="{EF2A6111-EA4D-43EC-95C0-0816B0AFFEEC}" name="cot3" dataDxfId="322">
      <calculatedColumnFormula array="1">IF(OR(cot_data[[#This Row],[objective_index]]="",required_cot&lt;3),"",IF(INDEX(encoding_COT3_ratings,cot_data[[#This Row],[objective_index]])="","",INDEX(encoding_COT3_ratings,cot_data[[#This Row],[objective_index]])))</calculatedColumnFormula>
    </tableColumn>
    <tableColumn id="8" xr3:uid="{9CD6C97A-BFD9-4BB2-872A-3DACF3A3205A}" name="cot4" dataDxfId="321">
      <calculatedColumnFormula array="1">IF(OR(cot_data[[#This Row],[objective_index]]="",required_cot&lt;4),"",IF(INDEX(encoding_COT4_ratings,cot_data[[#This Row],[objective_index]])="","",INDEX(encoding_COT4_ratings,cot_data[[#This Row],[objective_index]])))</calculatedColumnFormula>
    </tableColumn>
    <tableColumn id="2" xr3:uid="{6B40B8D5-9794-B946-8A03-0D068FBA2C82}" name="cot1_score" dataDxfId="320">
      <calculatedColumnFormula array="1">IF(cot_data[[#This Row],[objective_index]]="","",INDEX(encoding_cot1_scale,cot_data[[#This Row],[objective_index]]))</calculatedColumnFormula>
    </tableColumn>
    <tableColumn id="3" xr3:uid="{504B23B8-86EC-6D46-B1EE-B2E8EF186987}" name="cot2_score" dataDxfId="319">
      <calculatedColumnFormula array="1">IF(cot_data[[#This Row],[objective_index]]="","",INDEX(encoding_cot2_scale,cot_data[[#This Row],[objective_index]]))</calculatedColumnFormula>
    </tableColumn>
    <tableColumn id="36" xr3:uid="{B19BC802-79F1-114F-AC27-1B752A3A1A66}" name="cot3_score" dataDxfId="318">
      <calculatedColumnFormula array="1">IF(cot_data[[#This Row],[objective_index]]="","",INDEX(encoding_cot3_scale,cot_data[[#This Row],[objective_index]]))</calculatedColumnFormula>
    </tableColumn>
    <tableColumn id="37" xr3:uid="{AFA43D49-9EA5-EB49-8CAE-1B7FC1D1E56E}" name="cot4_score" dataDxfId="317">
      <calculatedColumnFormula array="1">IF(cot_data[[#This Row],[objective_index]]="","",INDEX(encoding_cot4_scale,cot_data[[#This Row],[objective_index]]))</calculatedColumnFormula>
    </tableColumn>
    <tableColumn id="9" xr3:uid="{1F4BE016-F60F-4D5E-BDB9-725D7BD84815}" name="average" dataDxfId="316">
      <calculatedColumnFormula array="1">IF(cot_data[[#This Row],[objective_index]]="","",INDEX(encoding_cot_ave,cot_data[[#This Row],[objective_index]]))</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F4CDB8F-F9B0-F341-BC37-6FDE14F268C1}" name="cot_meta" displayName="cot_meta" ref="A1:G5" totalsRowShown="0">
  <autoFilter ref="A1:G5" xr:uid="{12732066-46AA-4D60-B067-34F0261096B5}"/>
  <tableColumns count="7">
    <tableColumn id="4" xr3:uid="{3E1FD50D-AF40-FA4A-A0FD-F60F0286F887}" name="uniquepersonnelid" dataDxfId="315">
      <calculatedColumnFormula array="1">IF(cot_meta[[#This Row],[cot_num]]="","",demographics[uniquepersonnelid])</calculatedColumnFormula>
    </tableColumn>
    <tableColumn id="7" xr3:uid="{C981B712-3F8C-F445-BD00-FD70F54D7342}" name="rating_period" dataDxfId="314">
      <calculatedColumnFormula>IF(cot_meta[[#This Row],[cot_num]]="","","SY "&amp;sy_start&amp;"-"&amp;sy_end)</calculatedColumnFormula>
    </tableColumn>
    <tableColumn id="3" xr3:uid="{FF669AA0-8D48-A846-A653-834DC71C9F55}" name="career_stage" dataDxfId="313">
      <calculatedColumnFormula>IF(cot_meta[[#This Row],[cot_num]]="","",career_stage)</calculatedColumnFormula>
    </tableColumn>
    <tableColumn id="6" xr3:uid="{C061F1D2-64AB-E949-BC8B-6A004621D583}" name="teacher_type" dataDxfId="312">
      <calculatedColumnFormula>IF(cot_meta[[#This Row],[cot_num]]="","",teacher_type)</calculatedColumnFormula>
    </tableColumn>
    <tableColumn id="1" xr3:uid="{D94CF124-4DCF-AC44-BEAA-42FDD238572E}" name="cot_num" dataDxfId="311">
      <calculatedColumnFormula>IF(required_cot&gt;=ROW(cot_meta[[#This Row],[uniquepersonnelid]])-1,ROW(cot_meta[[#This Row],[uniquepersonnelid]])-1,"")</calculatedColumnFormula>
    </tableColumn>
    <tableColumn id="5" xr3:uid="{6498131F-1276-2E4A-BD57-9B3FC750A342}" name="subject" dataDxfId="310"/>
    <tableColumn id="2" xr3:uid="{00EC68A0-C896-1441-A516-8FEDD54930F2}" name="date" dataDxfId="309">
      <calculatedColumnFormula>IF(cot_meta[[#This Row],[cot_num]]="","",INDEX(INDIRECT("encoding_COT"&amp;cot_meta[[#This Row],[cot_num]]&amp;"_date"),1,1))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672B94A-835D-C14A-8070-75D966791B53}" name="tbl_part1" displayName="tbl_part1" ref="A1:M42" totalsRowShown="0">
  <autoFilter ref="A1:M42" xr:uid="{12732066-46AA-4D60-B067-34F0261096B5}"/>
  <tableColumns count="13">
    <tableColumn id="4" xr3:uid="{1FD4235D-70E6-F74D-81A8-9438E2344C9F}" name="uniquepersonnelid" dataDxfId="308">
      <calculatedColumnFormula array="1">IF(tbl_part1[[#This Row],[objective_index]]="","",demographics[uniquepersonnelid])</calculatedColumnFormula>
    </tableColumn>
    <tableColumn id="10" xr3:uid="{DEE959FB-6572-1742-96A0-2812A6853DF7}" name="rating_period" dataDxfId="307">
      <calculatedColumnFormula>IF(tbl_part1[[#This Row],[objective_index]]="","","SY "&amp;sy_start&amp;"-"&amp;sy_end)</calculatedColumnFormula>
    </tableColumn>
    <tableColumn id="3" xr3:uid="{E0DAA493-2F28-A74F-9700-0D990A7E8FAA}" name="career_stage" dataDxfId="306">
      <calculatedColumnFormula>IF(tbl_part1[[#This Row],[objective_index]]="","",career_stage)</calculatedColumnFormula>
    </tableColumn>
    <tableColumn id="9" xr3:uid="{74D6E136-564D-7E49-81FF-2915BD48D091}" name="teacher_type" dataDxfId="305">
      <calculatedColumnFormula>IF(tbl_part1[[#This Row],[objective_index]]="","",teacher_type)</calculatedColumnFormula>
    </tableColumn>
    <tableColumn id="1" xr3:uid="{F5D98BE3-07DB-E141-9EE0-FE15819A377A}" name="objective_index" dataDxfId="304">
      <calculatedColumnFormula array="1">IFERROR(SMALL(IF((INDEX(encoding_active_rows,,)),MATCH(ROW(encoding_active_rows),ROW(encoding_active_rows)),""),ROW(tbl_part1[[#This Row],[uniquepersonnelid]])-1),"")</calculatedColumnFormula>
    </tableColumn>
    <tableColumn id="38" xr3:uid="{F8C54A62-C8A9-C946-9C3E-ED46E69B5527}" name="objective_code" dataDxfId="303">
      <calculatedColumnFormula array="1">IF(tbl_part1[[#This Row],[objective_index]]="","",INDEX(coi_ncoi_select,tbl_part1[[#This Row],[objective_index]],1))</calculatedColumnFormula>
    </tableColumn>
    <tableColumn id="5" xr3:uid="{3BA9CECE-CE86-FA44-8513-E0790174815B}" name="q" dataDxfId="302">
      <calculatedColumnFormula>IF(tbl_part1[[#This Row],[objective_index]]="","",IF(INDEX(Part1_data,tbl_part1[[#This Row],[objective_index]],1)=0,"",INDEX(Part1_data,tbl_part1[[#This Row],[objective_index]],1)))</calculatedColumnFormula>
    </tableColumn>
    <tableColumn id="6" xr3:uid="{CE0DB59D-6610-C843-BDF9-73A1874C87E7}" name="e" dataDxfId="301">
      <calculatedColumnFormula>IF(tbl_part1[[#This Row],[objective_index]]="","",IF(INDEX(Part1_data,tbl_part1[[#This Row],[objective_index]],2)=0,"",INDEX(Part1_data,tbl_part1[[#This Row],[objective_index]],2)))</calculatedColumnFormula>
    </tableColumn>
    <tableColumn id="7" xr3:uid="{8ACFA61B-5BEF-4F4A-9ABD-821CDA74B8CD}" name="t" dataDxfId="300">
      <calculatedColumnFormula>IF(tbl_part1[[#This Row],[objective_index]]="","",IF(INDEX(Part1_data,tbl_part1[[#This Row],[objective_index]],3)=0,"",INDEX(Part1_data,tbl_part1[[#This Row],[objective_index]],3)))</calculatedColumnFormula>
    </tableColumn>
    <tableColumn id="8" xr3:uid="{01105482-E15C-7644-80B6-22832BFBDB49}" name="average" dataDxfId="299">
      <calculatedColumnFormula array="1">IF(tbl_part1[[#This Row],[objective_index]]="","",INDEX(Part1_data,tbl_part1[[#This Row],[objective_index]],4))</calculatedColumnFormula>
    </tableColumn>
    <tableColumn id="12" xr3:uid="{67A256FA-5679-CD47-A071-B366BD758510}" name="weight" dataDxfId="298">
      <calculatedColumnFormula array="1">IF(tbl_part1[[#This Row],[objective_index]]="","",INDEX(encoding_weights,tbl_part1[[#This Row],[objective_index]]))</calculatedColumnFormula>
    </tableColumn>
    <tableColumn id="2" xr3:uid="{E429410D-872A-F04E-992D-ECA82384D392}" name="score" dataDxfId="297">
      <calculatedColumnFormula array="1">IF(tbl_part1[[#This Row],[objective_index]]="","",INDEX(Part1_data,tbl_part1[[#This Row],[objective_index]],5))</calculatedColumnFormula>
    </tableColumn>
    <tableColumn id="11" xr3:uid="{110F62A6-E678-6644-93CB-B56CEEAD6851}" name="adjectival_rating" dataDxfId="296">
      <calculatedColumnFormula array="1">IF(tbl_part1[[#This Row],[objective_index]]="","",INDEX(Part1_data,tbl_part1[[#This Row],[objective_index]],6))</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D1803D-4D32-A245-8811-345E38C962D3}" name="tbl_part2" displayName="tbl_part2" ref="A1:F31" totalsRowShown="0">
  <autoFilter ref="A1:F31" xr:uid="{12732066-46AA-4D60-B067-34F0261096B5}"/>
  <tableColumns count="6">
    <tableColumn id="4" xr3:uid="{DC4B4E2E-2AB9-B647-BFCC-455EC9394210}" name="uniquepersonnelid" dataDxfId="295">
      <calculatedColumnFormula array="1">IF(tbl_part2[[#This Row],[competency_index]]="","",demographics[uniquepersonnelid])</calculatedColumnFormula>
    </tableColumn>
    <tableColumn id="6" xr3:uid="{69107D42-EE14-9840-8F20-628B585B872A}" name="rating_period" dataDxfId="294">
      <calculatedColumnFormula>IF(tbl_part2[[#This Row],[competency_index]]="","","SY "&amp;sy_start&amp;"-"&amp;sy_end)</calculatedColumnFormula>
    </tableColumn>
    <tableColumn id="3" xr3:uid="{619F53B0-295C-7E4D-8123-1B884C0F6E1A}" name="career_stage" dataDxfId="293">
      <calculatedColumnFormula>IF(tbl_part2[[#This Row],[competency_index]]="","",career_stage)</calculatedColumnFormula>
    </tableColumn>
    <tableColumn id="5" xr3:uid="{9F707ECB-C875-1844-9EDE-589EFAF81E35}" name="teacher_type" dataDxfId="292">
      <calculatedColumnFormula>IF(tbl_part2[[#This Row],[competency_index]]="","",teacher_type)</calculatedColumnFormula>
    </tableColumn>
    <tableColumn id="1" xr3:uid="{3B0ABBBC-2CF8-2441-B3FD-CABD2A97BFA3}" name="competency_index" dataDxfId="291">
      <calculatedColumnFormula array="1">IFERROR(SMALL(IF((INDEX(Part2_data,,1)),MATCH(ROW(Part2_data),ROW(Part2_data)),""),ROW(tbl_part2[[#This Row],[uniquepersonnelid]])-1),"")</calculatedColumnFormula>
    </tableColumn>
    <tableColumn id="2" xr3:uid="{8F454D8C-21F9-A54C-AC20-26D304787282}" name="competency_code" dataDxfId="290">
      <calculatedColumnFormula array="1">IFERROR(IF(tbl_part2[[#This Row],[uniquepersonnelid]]="","",INDEX(Part2_data,tbl_part2[[#This Row],[competency_index]],2)),"")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ED4DAD0-0D36-104B-937F-C01F8C0B9DFE}" name="part4_fstrengths" displayName="part4_fstrengths" ref="A1:E39" totalsRowShown="0">
  <autoFilter ref="A1:E39" xr:uid="{12732066-46AA-4D60-B067-34F0261096B5}"/>
  <tableColumns count="5">
    <tableColumn id="4" xr3:uid="{4D463895-3955-1F4C-9417-78BB1C8E6AD6}" name="uniquepersonnelid" dataDxfId="289">
      <calculatedColumnFormula array="1">IF(part4_fstrengths[[#This Row],[functional_strengths]]="","",demographics[uniquepersonnelid])</calculatedColumnFormula>
    </tableColumn>
    <tableColumn id="12" xr3:uid="{DAA9D300-C1BB-144D-8F26-36399A39A183}" name="rating_period" dataDxfId="288">
      <calculatedColumnFormula>IF(part4_fstrengths[[#This Row],[functional_strengths]]="","","SY "&amp;sy_start&amp;"-"&amp;sy_end)</calculatedColumnFormula>
    </tableColumn>
    <tableColumn id="10" xr3:uid="{BC42DCB7-1CD1-C245-9E3C-2683144B43F4}" name="career_stage" dataDxfId="287">
      <calculatedColumnFormula>IF(part4_fstrengths[[#This Row],[functional_strengths]]="","",career_stage)</calculatedColumnFormula>
    </tableColumn>
    <tableColumn id="11" xr3:uid="{23CB0046-1217-6B40-8F35-DA875F52D30D}" name="teacher_type" dataDxfId="286">
      <calculatedColumnFormula>IF(part4_fstrengths[[#This Row],[functional_strengths]]="","",teacher_type)</calculatedColumnFormula>
    </tableColumn>
    <tableColumn id="38" xr3:uid="{A51951DE-C342-524E-B259-0F381AD17E1A}" name="functional_strengths" dataDxfId="285">
      <calculatedColumnFormula array="1">IF(COUNTA(part4_functional_strengths)&gt;=ROW(part4_fstrengths[[#This Row],[uniquepersonnelid]])-1,INDEX(part4_functional_strengths,ROW(part4_fstrengths[[#This Row],[uniquepersonnelid]])-1,1),"")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B6CAFC-FC49-E542-BBB9-41FBFFEE5E77}" name="part4_bstrengths" displayName="part4_bstrengths" ref="A1:E7" totalsRowShown="0">
  <autoFilter ref="A1:E7" xr:uid="{12732066-46AA-4D60-B067-34F0261096B5}"/>
  <tableColumns count="5">
    <tableColumn id="4" xr3:uid="{5C85B7A6-8626-5144-B129-57805FB8EE1C}" name="uniquepersonnelid" dataDxfId="284">
      <calculatedColumnFormula array="1">IF(part4_bstrengths[[#This Row],[behavioral_strengths]]="","",demographics[uniquepersonnelid])</calculatedColumnFormula>
    </tableColumn>
    <tableColumn id="12" xr3:uid="{26999841-2E5B-E44F-9412-D1E978C0C29F}" name="rating_period" dataDxfId="283">
      <calculatedColumnFormula>IF(part4_bstrengths[[#This Row],[behavioral_strengths]]="","","SY "&amp;sy_start&amp;"-"&amp;sy_end)</calculatedColumnFormula>
    </tableColumn>
    <tableColumn id="10" xr3:uid="{D8086C72-145D-C74A-8F86-DEA1839EC35D}" name="career_stage" dataDxfId="282">
      <calculatedColumnFormula>IF(part4_bstrengths[[#This Row],[behavioral_strengths]]="","",career_stage)</calculatedColumnFormula>
    </tableColumn>
    <tableColumn id="11" xr3:uid="{F2DC0387-C8FB-FA44-8213-D568010354CA}" name="teacher_type" dataDxfId="281">
      <calculatedColumnFormula>IF(part4_bstrengths[[#This Row],[behavioral_strengths]]="","",teacher_type)</calculatedColumnFormula>
    </tableColumn>
    <tableColumn id="38" xr3:uid="{F87678FE-84EC-494F-BA30-71CA47FB44F5}" name="behavioral_strengths" dataDxfId="280">
      <calculatedColumnFormula array="1">IF(COUNTA(part4_behavioral_strengths)&gt;=ROW(part4_bstrengths[[#This Row],[uniquepersonnelid]])-1,INDEX(part4_behavioral_strengths,ROW(part4_bstrengths[[#This Row],[uniquepersonnelid]])-1,1),"")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F858933-4699-1747-8F16-8896CB7DCA11}" name="part4_fweakness" displayName="part4_fweakness" ref="A1:I39" totalsRowShown="0">
  <autoFilter ref="A1:I39" xr:uid="{12732066-46AA-4D60-B067-34F0261096B5}"/>
  <tableColumns count="9">
    <tableColumn id="4" xr3:uid="{8BC916C1-011E-474A-B30E-F4E1F163A01F}" name="uniquepersonnelid" dataDxfId="279">
      <calculatedColumnFormula array="1">IF(part4_fweakness[[#This Row],[functional_weakness]]="","",demographics[uniquepersonnelid])</calculatedColumnFormula>
    </tableColumn>
    <tableColumn id="12" xr3:uid="{8CE44A44-3EB9-B24F-A37D-719E7BD27A52}" name="rating_period" dataDxfId="278">
      <calculatedColumnFormula>IF(part4_fweakness[[#This Row],[functional_weakness]]="","","SY "&amp;sy_start&amp;"-"&amp;sy_end)</calculatedColumnFormula>
    </tableColumn>
    <tableColumn id="10" xr3:uid="{A3A507FD-8B17-4347-A564-D8B7828D5C30}" name="career_stage" dataDxfId="277">
      <calculatedColumnFormula>IF(part4_fweakness[[#This Row],[functional_weakness]]="","",career_stage)</calculatedColumnFormula>
    </tableColumn>
    <tableColumn id="11" xr3:uid="{A3043F50-B3AE-F64D-9708-A69DD7D723D3}" name="teacher_type" dataDxfId="276">
      <calculatedColumnFormula>IF(part4_fweakness[[#This Row],[functional_weakness]]="","",teacher_type)</calculatedColumnFormula>
    </tableColumn>
    <tableColumn id="38" xr3:uid="{CA85AA52-3E94-2E4A-8804-E5C4260BF7DB}" name="functional_weakness" dataDxfId="275">
      <calculatedColumnFormula array="1">IF(COUNTA(part4_functional_weakness)&gt;=ROW(part4_fweakness[[#This Row],[uniquepersonnelid]])-1,INDEX(part4_functional_weakness,ROW(part4_fweakness[[#This Row],[uniquepersonnelid]])-1,1),"")</calculatedColumnFormula>
    </tableColumn>
    <tableColumn id="1" xr3:uid="{94EC2D2F-0E0D-6D4D-B26D-76DBF197E849}" name="learning_objectives" dataDxfId="274">
      <calculatedColumnFormula array="1">IF(part4_fweakness[[#This Row],[functional_weakness]]="","",IF(INDEX(part4_functional,ROW(part4_fweakness[[#This Row],[uniquepersonnelid]])-1,1)="","",INDEX(part4_functional,ROW(part4_fweakness[[#This Row],[uniquepersonnelid]])-1,1)))</calculatedColumnFormula>
    </tableColumn>
    <tableColumn id="2" xr3:uid="{3657E786-46C4-4B46-8C3D-7DD9189A5E8B}" name="intervention" dataDxfId="273">
      <calculatedColumnFormula array="1">IF(part4_fweakness[[#This Row],[functional_weakness]]="","",IF(INDEX(part4_functional,ROW(part4_fweakness[[#This Row],[uniquepersonnelid]])-1,2)="","",INDEX(part4_functional,ROW(part4_fweakness[[#This Row],[uniquepersonnelid]])-1,2)))</calculatedColumnFormula>
    </tableColumn>
    <tableColumn id="3" xr3:uid="{A67DDAB8-BFE3-F745-A37C-C92EE48EBFA1}" name="timeline" dataDxfId="272">
      <calculatedColumnFormula array="1">IF(part4_fweakness[[#This Row],[functional_weakness]]="","",IF(INDEX(part4_functional,ROW(part4_fweakness[[#This Row],[uniquepersonnelid]])-1,3)="","",INDEX(part4_functional,ROW(part4_fweakness[[#This Row],[uniquepersonnelid]])-1,3)))</calculatedColumnFormula>
    </tableColumn>
    <tableColumn id="5" xr3:uid="{7EE4C423-E90E-D74B-8B8D-CC68EFA49F76}" name="resources" dataDxfId="271">
      <calculatedColumnFormula array="1">IF(part4_fweakness[[#This Row],[functional_weakness]]="","",IF(INDEX(part4_functional,ROW(part4_fweakness[[#This Row],[uniquepersonnelid]])-1,4)="","",INDEX(part4_functional,ROW(part4_fweakness[[#This Row],[uniquepersonnelid]])-1,4)))</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CF45ADB-C01A-E543-ADED-98F71A85FFA3}" name="part4_bweakness" displayName="part4_bweakness" ref="A1:I7" totalsRowShown="0">
  <autoFilter ref="A1:I7" xr:uid="{12732066-46AA-4D60-B067-34F0261096B5}"/>
  <tableColumns count="9">
    <tableColumn id="4" xr3:uid="{FB519B1C-47FD-234C-8489-6FAD09CA08D4}" name="uniquepersonnelid" dataDxfId="270">
      <calculatedColumnFormula array="1">IF(part4_bweakness[[#This Row],[behavioral_weakness]]="","",demographics[uniquepersonnelid])</calculatedColumnFormula>
    </tableColumn>
    <tableColumn id="12" xr3:uid="{3B6ED453-B944-C84D-8AE6-2A8688F96A1A}" name="rating_period" dataDxfId="269">
      <calculatedColumnFormula>IF(part4_bweakness[[#This Row],[behavioral_weakness]]="","","SY "&amp;sy_start&amp;"-"&amp;sy_end)</calculatedColumnFormula>
    </tableColumn>
    <tableColumn id="10" xr3:uid="{7A154916-7345-D945-97B0-84A56190BC94}" name="career_stage" dataDxfId="268">
      <calculatedColumnFormula>IF(part4_bweakness[[#This Row],[behavioral_weakness]]="","",career_stage)</calculatedColumnFormula>
    </tableColumn>
    <tableColumn id="11" xr3:uid="{25375D5A-8B63-594C-9CDA-38669DDA2608}" name="teacher_type" dataDxfId="267">
      <calculatedColumnFormula>IF(part4_bweakness[[#This Row],[behavioral_weakness]]="","",teacher_type)</calculatedColumnFormula>
    </tableColumn>
    <tableColumn id="38" xr3:uid="{DD1C8469-B554-0D4D-B438-1AC5A3E46C05}" name="behavioral_weakness" dataDxfId="266">
      <calculatedColumnFormula array="1">IF(COUNTA(part4_behavioral_weakness)&gt;=ROW(part4_bweakness[[#This Row],[uniquepersonnelid]])-1,INDEX(part4_behavioral_weakness,ROW(part4_bweakness[[#This Row],[uniquepersonnelid]])-1,1),"")</calculatedColumnFormula>
    </tableColumn>
    <tableColumn id="1" xr3:uid="{A4CA0CA4-4D49-DE43-B372-67B9AF85B1AB}" name="learning_objectives" dataDxfId="265">
      <calculatedColumnFormula array="1">IF(part4_bweakness[[#This Row],[behavioral_weakness]]="","",IF(INDEX(part4_behavioral,ROW(part4_bweakness[[#This Row],[uniquepersonnelid]])-1,1)="","",INDEX(part4_behavioral,ROW(part4_bweakness[[#This Row],[uniquepersonnelid]])-1,1)))</calculatedColumnFormula>
    </tableColumn>
    <tableColumn id="2" xr3:uid="{12C10EDD-FE14-134D-9717-07D2DE1B1A13}" name="intervention" dataDxfId="264">
      <calculatedColumnFormula array="1">IF(part4_bweakness[[#This Row],[behavioral_weakness]]="","",IF(INDEX(part4_behavioral,ROW(part4_bweakness[[#This Row],[uniquepersonnelid]])-1,2)="","",INDEX(part4_behavioral,ROW(part4_bweakness[[#This Row],[uniquepersonnelid]])-1,2)))</calculatedColumnFormula>
    </tableColumn>
    <tableColumn id="3" xr3:uid="{65EBD883-7C68-CC4C-B523-575E5448F46D}" name="timeline" dataDxfId="263">
      <calculatedColumnFormula array="1">IF(part4_bweakness[[#This Row],[behavioral_weakness]]="","",IF(INDEX(part4_behavioral,ROW(part4_bweakness[[#This Row],[uniquepersonnelid]])-1,3)="","",INDEX(part4_behavioral,ROW(part4_bweakness[[#This Row],[uniquepersonnelid]])-1,3)))</calculatedColumnFormula>
    </tableColumn>
    <tableColumn id="5" xr3:uid="{A4A42B9B-D392-7C4E-BC63-1B279F003948}" name="resources" dataDxfId="262">
      <calculatedColumnFormula array="1">IF(part4_bweakness[[#This Row],[behavioral_weakness]]="","",IF(INDEX(part4_behavioral,ROW(part4_bweakness[[#This Row],[uniquepersonnelid]])-1,4)="","",INDEX(part4_behavioral,ROW(part4_bweakness[[#This Row],[uniquepersonnelid]])-1,4)))</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7C9A30-287F-46FE-9534-7035ED3B9881}" name="Domains" displayName="Domains" ref="A1:B8" totalsRowShown="0" headerRowDxfId="134" dataDxfId="132" headerRowBorderDxfId="133" tableBorderDxfId="131" totalsRowBorderDxfId="130">
  <autoFilter ref="A1:B8" xr:uid="{F17F88B7-858D-4FC2-9B38-81828CFBD7F6}"/>
  <tableColumns count="2">
    <tableColumn id="1" xr3:uid="{92D560AB-769A-438B-B8B8-9513A785F05D}" name="Domain_code" dataDxfId="129"/>
    <tableColumn id="2" xr3:uid="{88A50EDE-9CAB-401B-8632-F1983256A6CD}" name="Domain" dataDxfId="12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687F5F1-D8B3-4018-B3E8-06D8412D2F8A}" name="RPI" displayName="RPI" ref="A1:M39" totalsRowShown="0" headerRowDxfId="127" headerRowBorderDxfId="126" tableBorderDxfId="125" totalsRowBorderDxfId="124">
  <autoFilter ref="A1:M39" xr:uid="{F17F88B7-858D-4FC2-9B38-81828CFBD7F6}"/>
  <tableColumns count="13">
    <tableColumn id="1" xr3:uid="{2FA75862-4BCE-4888-94C4-71EBFE2C8A4C}" name="Strand" dataDxfId="123"/>
    <tableColumn id="2" xr3:uid="{4ACBE145-E6FD-4288-9E23-9731B74DA385}" name="PPST Indicators" dataDxfId="122"/>
    <tableColumn id="3" xr3:uid="{59A89A80-1E1E-4921-A9DC-FA6E514D103E}" name="Domain" dataDxfId="121"/>
    <tableColumn id="4" xr3:uid="{B6F1B806-14DF-4828-A48D-6A61B5E0908E}" name="CO" dataDxfId="120">
      <calculatedColumnFormula>IFERROR(IF(AND(COUNTIF(RPS[helper],RPI[[#This Row],[Strand]]&amp;"-Q-COI")&gt;0,COUNTIF(RPS[helper],RPI[[#This Row],[Strand]]&amp;"-Q-NCOI")&gt;0),"COI/NCOI",IF(COUNTIF(RPS[helper],RPI[[#This Row],[Strand]]&amp;"-Q-COI")&gt;0,"COI",IF(COUNTIF(RPS[helper],RPI[[#This Row],[Strand]]&amp;"-Q-NCOI")&gt;0,"NCOI",""))),"")</calculatedColumnFormula>
    </tableColumn>
    <tableColumn id="5" xr3:uid="{30F3B061-7189-4235-9066-DAA1CD4A355D}" name="YR" dataDxfId="119"/>
    <tableColumn id="6" xr3:uid="{E4B2CCF9-6E96-4FDF-AB60-39B3840BB082}" name="Selected" dataDxfId="118">
      <calculatedColumnFormula>VLOOKUP(RPI[[#This Row],[Strand]],indSelect_RP,7,FALSE)</calculatedColumnFormula>
    </tableColumn>
    <tableColumn id="8" xr3:uid="{A8AC4B70-E332-9041-8C9E-C4BFA68AD57C}" name="user_selected_coi_ncoi" dataDxfId="117">
      <calculatedColumnFormula>IF(AND(career_stage="P",teacher_type="R",RPI[[#This Row],[CO]]="COI/NCOI",RPI[[#This Row],[Selected]]),VLOOKUP(RPI[[#This Row],[Strand]],coi_ncoi_select,COLUMNS(coi_ncoi_select),FALSE),RPI[[#This Row],[CO]])</calculatedColumnFormula>
    </tableColumn>
    <tableColumn id="7" xr3:uid="{FED7FA9A-8D43-4DE0-822C-58A6AC1B2918}" name="Weight" dataDxfId="116" dataCellStyle="Percent">
      <calculatedColumnFormula>VLOOKUP(RPI[[#This Row],[Strand]],indSelect_RP,6,FALSE)</calculatedColumnFormula>
    </tableColumn>
    <tableColumn id="9" xr3:uid="{CB175386-853E-7048-8509-5C84767E25D0}" name="admin_selected_coi_ncoi" dataDxfId="115">
      <calculatedColumnFormula>IFERROR(IF(AND(RPI[[#This Row],[Selected]],RPI[[#This Row],[CO]]="COI/NCOI"),VLOOKUP(RPI[[#This Row],[Strand]],indSelect_RP,9,FALSE),RPI[[#This Row],[CO]]),RPI[[#This Row],[CO]])</calculatedColumnFormula>
    </tableColumn>
    <tableColumn id="10" xr3:uid="{806AEBCA-3E4E-2847-A05C-FFD45F89010B}" name="cot1" dataDxfId="114">
      <calculatedColumnFormula>IF(AND(required_cot&gt;=1,RPI[[#This Row],[Selected]]),VLOOKUP(RPI[[#This Row],[Strand]],indSelect_RP,10,FALSE)=1,FALSE)</calculatedColumnFormula>
    </tableColumn>
    <tableColumn id="11" xr3:uid="{51D8E837-3B86-5F46-8F41-26890FAD1B06}" name="cot2" dataDxfId="113">
      <calculatedColumnFormula>IF(AND(required_cot&gt;=2,RPI[[#This Row],[Selected]]),VLOOKUP(RPI[[#This Row],[Strand]],indSelect_RP,11,FALSE)=1,FALSE)</calculatedColumnFormula>
    </tableColumn>
    <tableColumn id="12" xr3:uid="{B0C187A9-6811-944C-A302-3027CA4E2190}" name="cot3" dataDxfId="112">
      <calculatedColumnFormula>IF(AND(required_cot&gt;=3,RPI[[#This Row],[Selected]]),VLOOKUP(RPI[[#This Row],[Strand]],indSelect_RP,12,FALSE)=1,FALSE)</calculatedColumnFormula>
    </tableColumn>
    <tableColumn id="13" xr3:uid="{B596F213-0B27-5C48-BED3-5325D1925FB4}" name="cot4" dataDxfId="111">
      <calculatedColumnFormula>IF(AND(required_cot&gt;=4,RPI[[#This Row],[Selected]]),VLOOKUP(RPI[[#This Row],[Strand]],indSelect_RP,13,FALSE)=1,FALSE)</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6AD6783-5914-41CF-AA65-577422786B7C}" name="RPS" displayName="RPS" ref="A1:J71" totalsRowShown="0" headerRowDxfId="110" dataDxfId="108" headerRowBorderDxfId="109" tableBorderDxfId="107" totalsRowBorderDxfId="106">
  <autoFilter ref="A1:J71" xr:uid="{F17F88B7-858D-4FC2-9B38-81828CFBD7F6}"/>
  <tableColumns count="10">
    <tableColumn id="1" xr3:uid="{1E75EA73-6524-4E82-ACBB-7CBDAB907E3E}" name="Strand" dataDxfId="105"/>
    <tableColumn id="2" xr3:uid="{8572EA0E-8759-414C-B291-D507E124D9AB}" name="CO" dataDxfId="104"/>
    <tableColumn id="3" xr3:uid="{3FDE5127-2D94-49EA-B58C-9D153BFFBA2F}" name="YR" dataDxfId="103"/>
    <tableColumn id="4" xr3:uid="{09FF56B2-8607-472A-996A-30DAC7787E5D}" name="QET" dataDxfId="102"/>
    <tableColumn id="10" xr3:uid="{376E07D6-35E5-4310-B62D-73E24393DEB4}" name="helper" dataDxfId="101">
      <calculatedColumnFormula>RPS[[#This Row],[Strand]]&amp;"-"&amp;RPS[[#This Row],[QET]]&amp;"-"&amp;RPS[[#This Row],[CO]]</calculatedColumnFormula>
    </tableColumn>
    <tableColumn id="5" xr3:uid="{266EB3BA-5F96-40E5-84D0-6673F481DDE8}" name="Outstanding" dataDxfId="100"/>
    <tableColumn id="6" xr3:uid="{D4AB7685-2A3D-4B87-A639-F7726D74144E}" name="Very Satisfactory" dataDxfId="99"/>
    <tableColumn id="7" xr3:uid="{88A019BE-0E0B-4D59-8417-E79FA083CEDC}" name="Satisfactory" dataDxfId="98"/>
    <tableColumn id="8" xr3:uid="{1F095378-B1B3-495A-ACE3-08BD345FB27E}" name="Unsatisfactory" dataDxfId="97"/>
    <tableColumn id="9" xr3:uid="{4879B96B-1C54-4AE3-B6BB-F07CF53F529B}" name="Poor" dataDxfId="96"/>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C286351-F6CB-4CFB-A375-119A762C33B5}" name="RHPI" displayName="RHPI" ref="A1:M39" totalsRowShown="0" headerRowDxfId="95" headerRowBorderDxfId="94" tableBorderDxfId="93" totalsRowBorderDxfId="92">
  <autoFilter ref="A1:M39" xr:uid="{90748905-0D18-4668-8CF4-CF7A0D4319C6}"/>
  <tableColumns count="13">
    <tableColumn id="1" xr3:uid="{358D7934-2B6B-4B66-A61C-C71620D241AF}" name="Strand" dataDxfId="91"/>
    <tableColumn id="2" xr3:uid="{D99B5C17-EFEB-4D9D-BAB9-DA35AAAD5BA8}" name="PPST Indicators" dataDxfId="90"/>
    <tableColumn id="3" xr3:uid="{39FC266C-B3FF-4B98-867C-B19EC70938AC}" name="Domain" dataDxfId="89"/>
    <tableColumn id="4" xr3:uid="{527FBA4E-FDFD-4DFF-AB5E-D14E64613965}" name="CO" dataDxfId="88">
      <calculatedColumnFormula>IFERROR(IF(AND(COUNTIF(RHPS[helper],RHPI[[#This Row],[Strand]]&amp;"-Q-COI")&gt;0,COUNTIF(RHPS[helper],RHPI[[#This Row],[Strand]]&amp;"-Q-NCOI")&gt;0),"COI/NCOI",IF(COUNTIF(RHPS[helper],RHPI[[#This Row],[Strand]]&amp;"-Q-COI")&gt;0,"COI",IF(COUNTIF(RHPS[helper],RHPI[[#This Row],[Strand]]&amp;"-Q-NCOI")&gt;0,"NCOI",""))),"")</calculatedColumnFormula>
    </tableColumn>
    <tableColumn id="5" xr3:uid="{E7D1F2D2-5CB1-49D5-AB19-89EF7ED45B76}" name="YR" dataDxfId="87"/>
    <tableColumn id="6" xr3:uid="{A51C7ADB-3F57-0746-BA71-C7658D5D3E70}" name="Selected" dataDxfId="86">
      <calculatedColumnFormula>VLOOKUP(RHPI[[#This Row],[Strand]],indSelect_RHP,7,FALSE)</calculatedColumnFormula>
    </tableColumn>
    <tableColumn id="7" xr3:uid="{D4AD3B96-1302-6B40-A598-214B7FADF939}" name="user_selected_coi_ncoi" dataDxfId="85">
      <calculatedColumnFormula>IF(AND(career_stage="HP",teacher_type="R",RHPI[[#This Row],[CO]]="COI/NCOI",RHPI[[#This Row],[Selected]]),VLOOKUP(RHPI[[#This Row],[Strand]],coi_ncoi_select,COLUMNS(coi_ncoi_select),FALSE),RHPI[[#This Row],[CO]])</calculatedColumnFormula>
    </tableColumn>
    <tableColumn id="8" xr3:uid="{571B3CD1-4096-9047-9EAE-A934CB916058}" name="Weight" dataDxfId="84" dataCellStyle="Percent">
      <calculatedColumnFormula>VLOOKUP(RHPI[[#This Row],[Strand]],indSelect_RHP,6,FALSE)</calculatedColumnFormula>
    </tableColumn>
    <tableColumn id="9" xr3:uid="{3A79B333-F0AB-1843-BEE6-6D5B454E44F7}" name="admin_selected_coi_ncoi" dataDxfId="83">
      <calculatedColumnFormula>IFERROR(IF(AND(RHPI[[#This Row],[Selected]],RHPI[[#This Row],[CO]]="COI/NCOI"),VLOOKUP(RHPI[[#This Row],[Strand]],indSelect_RHP,9,FALSE),RHPI[[#This Row],[CO]]),RHPI[[#This Row],[CO]])</calculatedColumnFormula>
    </tableColumn>
    <tableColumn id="10" xr3:uid="{E1F76B22-7272-F348-84F0-D7331C64EA53}" name="cot1" dataDxfId="82">
      <calculatedColumnFormula>IF(AND(required_cot&gt;=1,RHPI[[#This Row],[Selected]]),VLOOKUP(RHPI[[#This Row],[Strand]],indSelect_RHP,10,FALSE)=1,FALSE)</calculatedColumnFormula>
    </tableColumn>
    <tableColumn id="11" xr3:uid="{002B0F0B-D04F-B141-9622-E0A16F896932}" name="cot2" dataDxfId="81">
      <calculatedColumnFormula>IF(AND(required_cot&gt;=2,RHPI[[#This Row],[Selected]]),VLOOKUP(RHPI[[#This Row],[Strand]],indSelect_RHP,11,FALSE)=1,FALSE)</calculatedColumnFormula>
    </tableColumn>
    <tableColumn id="12" xr3:uid="{44BDC73A-1C2D-2B48-8989-6EA5651D012D}" name="cot3" dataDxfId="80">
      <calculatedColumnFormula>IF(AND(required_cot&gt;=3,RHPI[[#This Row],[Selected]]),VLOOKUP(RHPI[[#This Row],[Strand]],indSelect_RHP,12,FALSE)=1,FALSE)</calculatedColumnFormula>
    </tableColumn>
    <tableColumn id="13" xr3:uid="{6F4291E4-46BA-934E-BDB1-C658E1B152AA}" name="cot4" dataDxfId="79">
      <calculatedColumnFormula>IF(AND(required_cot&gt;=4,RHPI[[#This Row],[Selected]]),VLOOKUP(RHPI[[#This Row],[Strand]],indSelect_RHP,13,FALSE)=1,FALSE)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613DA39-A7E6-490B-8627-C74EB3C7289B}" name="RHPS" displayName="RHPS" ref="A1:J71" totalsRowShown="0" headerRowDxfId="78" dataDxfId="76" headerRowBorderDxfId="77" tableBorderDxfId="75" totalsRowBorderDxfId="74">
  <autoFilter ref="A1:J71" xr:uid="{90748905-0D18-4668-8CF4-CF7A0D4319C6}"/>
  <tableColumns count="10">
    <tableColumn id="1" xr3:uid="{59437130-6FBE-4E4F-A497-2C77FDFA5D53}" name="Strand" dataDxfId="73"/>
    <tableColumn id="2" xr3:uid="{A18479AC-1AE0-42C8-862E-AE1C6F520600}" name="COI" dataDxfId="72"/>
    <tableColumn id="3" xr3:uid="{46AE68FA-F5E0-4B46-898F-18CA0D2BA2F2}" name="YR" dataDxfId="71"/>
    <tableColumn id="4" xr3:uid="{D38D97EB-4E81-4C08-9556-BE36DF7CAF21}" name="QET" dataDxfId="70"/>
    <tableColumn id="10" xr3:uid="{69CC2507-64F0-4586-9270-5C5197F7A73A}" name="helper" dataDxfId="69">
      <calculatedColumnFormula>RHPS[[#This Row],[Strand]]&amp;"-"&amp;RHPS[[#This Row],[QET]]&amp; "-" &amp;RHPS[[#This Row],[COI]]</calculatedColumnFormula>
    </tableColumn>
    <tableColumn id="5" xr3:uid="{BBBB3B41-73CB-446F-B258-E82372771D4F}" name="Outstanding" dataDxfId="68"/>
    <tableColumn id="6" xr3:uid="{8CB800DB-D30F-4B3E-8BDE-A97D9FE61BD5}" name="Very Satisfactory" dataDxfId="67"/>
    <tableColumn id="7" xr3:uid="{19B0A031-BFB6-48B3-A998-B0E8F01865D6}" name="Satisfactory" dataDxfId="66"/>
    <tableColumn id="8" xr3:uid="{960D2099-3424-47B6-BD22-C79AF69546D5}" name="Unsatisfactory" dataDxfId="65"/>
    <tableColumn id="9" xr3:uid="{4484A5D6-4439-4506-80C4-A084564C7315}" name="Poor" dataDxfId="6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05C58A0-A25C-4B5A-9A9F-9B058E19742D}" name="TBPI" displayName="TBPI" ref="A1:M39" totalsRowShown="0" headerRowDxfId="63" headerRowBorderDxfId="62" tableBorderDxfId="61" totalsRowBorderDxfId="60">
  <autoFilter ref="A1:M39" xr:uid="{505C58A0-A25C-4B5A-9A9F-9B058E19742D}"/>
  <tableColumns count="13">
    <tableColumn id="1" xr3:uid="{748BF9FC-0273-4957-A48F-77A30B17A682}" name="Strand" dataDxfId="59"/>
    <tableColumn id="2" xr3:uid="{71893090-5161-4081-9D78-E32DD397EB3C}" name="PPST Indicators" dataDxfId="58"/>
    <tableColumn id="8" xr3:uid="{E463E37D-196D-A24E-B1AB-ED5715764462}" name="Domain" dataDxfId="57"/>
    <tableColumn id="3" xr3:uid="{D53F0191-1C5E-4508-8261-E788A86C2F6B}" name="CO" dataDxfId="56">
      <calculatedColumnFormula>IFERROR(IF(AND(COUNTIF(TBPS[helper],TBPI[[#This Row],[Strand]]&amp;"-Q-COI")&gt;0,COUNTIF(TBPS[helper],TBPI[[#This Row],[Strand]]&amp;"-Q-NCOI")&gt;0),"COI/NCOI",IF(COUNTIF(TBPS[helper],TBPI[[#This Row],[Strand]]&amp;"-Q-COI")&gt;0,"COI",IF(COUNTIF(TBPS[helper],TBPI[[#This Row],[Strand]]&amp;"-Q-NCOI")&gt;0,"NCOI",""))),"")</calculatedColumnFormula>
    </tableColumn>
    <tableColumn id="4" xr3:uid="{459E7599-C715-4E6C-AE05-7B43552BA3E7}" name="YR" dataDxfId="55"/>
    <tableColumn id="5" xr3:uid="{4684C516-6A02-1F40-AAC6-F298738D0447}" name="Selected" dataDxfId="54">
      <calculatedColumnFormula>VLOOKUP(TBPI[[#This Row],[Strand]],indSelect_TBP,7,FALSE)</calculatedColumnFormula>
    </tableColumn>
    <tableColumn id="6" xr3:uid="{AA1E8FE8-EA8B-8243-ACB7-B796489F2C6E}" name="user_selected_coi_ncoi" dataDxfId="53">
      <calculatedColumnFormula>IF(AND(career_stage="P",teacher_type="TB",TBPI[[#This Row],[CO]]="COI/NCOI",TBPI[[#This Row],[Selected]]),VLOOKUP(TBPI[[#This Row],[Strand]],coi_ncoi_select,COLUMNS(coi_ncoi_select),FALSE),TBPI[[#This Row],[CO]])</calculatedColumnFormula>
    </tableColumn>
    <tableColumn id="7" xr3:uid="{15B06FDF-7F01-D646-95BB-4001BA70B067}" name="Weight" dataDxfId="52" dataCellStyle="Percent">
      <calculatedColumnFormula>VLOOKUP(TBPI[[#This Row],[Strand]],indSelect_TBP,6,FALSE)</calculatedColumnFormula>
    </tableColumn>
    <tableColumn id="9" xr3:uid="{B376A080-6DD9-7D49-A755-D5CAD2F1F31A}" name="admin_selected_coi_ncoi" dataDxfId="51">
      <calculatedColumnFormula>IFERROR(IF(AND(TBPI[[#This Row],[Selected]],TBPI[[#This Row],[CO]]="COI/NCOI"),VLOOKUP(TBPI[[#This Row],[Strand]],indSelect_TBP,9,FALSE),TBPI[[#This Row],[CO]]),TBPI[[#This Row],[CO]])</calculatedColumnFormula>
    </tableColumn>
    <tableColumn id="10" xr3:uid="{535DE3E4-4BA5-EA41-BB66-472A54B7CABD}" name="cot1" dataDxfId="50">
      <calculatedColumnFormula>IF(AND(required_cot&gt;=1,TBPI[[#This Row],[Selected]]),VLOOKUP(TBPI[[#This Row],[Strand]],indSelect_TBP,10,FALSE)=1,FALSE)</calculatedColumnFormula>
    </tableColumn>
    <tableColumn id="11" xr3:uid="{640DFE8B-E540-7B40-B3CB-27FD19FE510F}" name="cot2" dataDxfId="49">
      <calculatedColumnFormula>IF(AND(required_cot&gt;=2,TBPI[[#This Row],[Selected]]),VLOOKUP(TBPI[[#This Row],[Strand]],indSelect_TBP,11,FALSE)=1,FALSE)</calculatedColumnFormula>
    </tableColumn>
    <tableColumn id="12" xr3:uid="{9446CC9F-6817-2143-8B6B-7DE3F969887C}" name="cot3" dataDxfId="48">
      <calculatedColumnFormula>IF(AND(required_cot&gt;=3,TBPI[[#This Row],[Selected]]),VLOOKUP(TBPI[[#This Row],[Strand]],indSelect_TBP,12,FALSE)=1,FALSE)</calculatedColumnFormula>
    </tableColumn>
    <tableColumn id="13" xr3:uid="{1E4A1256-4A05-A743-928B-5A4D60B61C30}" name="cot4" dataDxfId="47">
      <calculatedColumnFormula>IF(AND(required_cot&gt;=4,TBPI[[#This Row],[Selected]]),VLOOKUP(TBPI[[#This Row],[Strand]],indSelect_TBP,13,FALSE)=1,FALSE)</calculatedColumnFormula>
    </tableColumn>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7297BC-982E-43B8-AEC1-CD5671FB237C}" name="TBPS" displayName="TBPS" ref="A1:J57" totalsRowShown="0" headerRowDxfId="46" dataDxfId="44" headerRowBorderDxfId="45" tableBorderDxfId="43" totalsRowBorderDxfId="42">
  <autoFilter ref="A1:J57" xr:uid="{717297BC-982E-43B8-AEC1-CD5671FB237C}"/>
  <tableColumns count="10">
    <tableColumn id="1" xr3:uid="{8581A1F3-5BC0-40F4-BB3B-8B3F4AF27811}" name="Strand" dataDxfId="41"/>
    <tableColumn id="2" xr3:uid="{33DDF26E-55DE-43A4-BD44-7AE9A9BCFF0D}" name="CO" dataDxfId="40"/>
    <tableColumn id="3" xr3:uid="{D997C666-156F-421F-B9E5-98CF42155B14}" name="YR" dataDxfId="39"/>
    <tableColumn id="4" xr3:uid="{E82616CA-92AA-4C8D-9791-8F62783C0B7C}" name="QET" dataDxfId="38"/>
    <tableColumn id="10" xr3:uid="{9D7E9A51-F9DB-4319-9A2B-9A07D91C19CF}" name="helper" dataDxfId="37">
      <calculatedColumnFormula>TBPS[[#This Row],[Strand]]&amp;"-"&amp;TBPS[[#This Row],[QET]]&amp; "-" &amp;TBPS[[#This Row],[CO]]</calculatedColumnFormula>
    </tableColumn>
    <tableColumn id="5" xr3:uid="{90D8C161-96A2-4555-9258-2C8DA8B59413}" name="Outstanding" dataDxfId="36"/>
    <tableColumn id="6" xr3:uid="{8A4D3632-972F-473A-BAED-C34D7E3BA0E9}" name="Very Satisfactory" dataDxfId="35"/>
    <tableColumn id="7" xr3:uid="{542FEED8-8430-4510-9950-D55D03B992CE}" name="Satisfactory" dataDxfId="34"/>
    <tableColumn id="8" xr3:uid="{AF8D6604-C7CE-469B-BC1A-87E28B51754C}" name="Unsatisfactory" dataDxfId="33"/>
    <tableColumn id="9" xr3:uid="{37E02828-C831-471E-A748-D25D344E2706}" name="Poor" dataDxfId="3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07A8256-9725-4DB4-826D-84D000F21BF0}" name="TBHPI" displayName="TBHPI" ref="A1:M39" totalsRowShown="0" headerRowDxfId="31" headerRowBorderDxfId="30" tableBorderDxfId="29" totalsRowBorderDxfId="28">
  <autoFilter ref="A1:M39" xr:uid="{F07A8256-9725-4DB4-826D-84D000F21BF0}"/>
  <tableColumns count="13">
    <tableColumn id="1" xr3:uid="{FFB6A72C-3F54-4D22-8A0F-943902E24314}" name="Strand" dataDxfId="27"/>
    <tableColumn id="2" xr3:uid="{F7F62F55-76F5-45A0-B97B-FDF72200650E}" name="PPST Indicators" dataDxfId="26"/>
    <tableColumn id="3" xr3:uid="{382FEC12-3B0C-4E45-B2A4-3B4E5BC3FA54}" name="Domain" dataDxfId="25"/>
    <tableColumn id="4" xr3:uid="{EA58D169-C119-4925-B48A-A915450617BD}" name="CO" dataDxfId="24">
      <calculatedColumnFormula>IFERROR(IF(AND(COUNTIF(TBHPS[helper],TBHPI[[#This Row],[Strand]]&amp;"-Q-COI")&gt;0,COUNTIF(TBHPS[helper],TBHPI[[#This Row],[Strand]]&amp;"-Q-NCOI")&gt;0),"COI/NCOI",IF(COUNTIF(TBHPS[helper],TBHPI[[#This Row],[Strand]]&amp;"-Q-COI")&gt;0,"COI",IF(COUNTIF(TBHPS[helper],TBHPI[[#This Row],[Strand]]&amp;"-Q-NCOI")&gt;0,"NCOI",""))),"")</calculatedColumnFormula>
    </tableColumn>
    <tableColumn id="5" xr3:uid="{EF10DA3D-9032-40EC-9D23-2117DCAD72F4}" name="YR" dataDxfId="23"/>
    <tableColumn id="6" xr3:uid="{B10C1E87-8E31-9F43-9F70-CA7A89270886}" name="Selected" dataDxfId="22">
      <calculatedColumnFormula>VLOOKUP(TBHPI[[#This Row],[Strand]],indSelect_TBHP,7,FALSE)</calculatedColumnFormula>
    </tableColumn>
    <tableColumn id="7" xr3:uid="{9BC3DA51-8BDD-F048-95F7-389368F5EA42}" name="user_selected_coi_ncoi" dataDxfId="21">
      <calculatedColumnFormula>IF(AND(career_stage="HP",teacher_type="TB",TBHPI[[#This Row],[CO]]="COI/NCOI",TBHPI[[#This Row],[Selected]]),VLOOKUP(TBHPI[[#This Row],[Strand]],coi_ncoi_select,COLUMNS(coi_ncoi_select),FALSE),TBHPI[[#This Row],[CO]])</calculatedColumnFormula>
    </tableColumn>
    <tableColumn id="8" xr3:uid="{BFB18BFA-9BA8-774B-BFC8-272E001FE925}" name="Weight" dataDxfId="20" dataCellStyle="Percent">
      <calculatedColumnFormula>VLOOKUP(TBHPI[[#This Row],[Strand]],indSelect_TBHP,6,FALSE)</calculatedColumnFormula>
    </tableColumn>
    <tableColumn id="9" xr3:uid="{1A3CEFC9-5B01-C144-86E1-BC844C56EDB2}" name="admin_selected_coi_ncoi" dataDxfId="19">
      <calculatedColumnFormula>IFERROR(IF(AND(TBHPI[[#This Row],[Selected]],TBHPI[[#This Row],[CO]]="COI/NCOI"),VLOOKUP(TBHPI[[#This Row],[Strand]],indSelect_TBHP,9,FALSE),TBHPI[[#This Row],[CO]]),TBHPI[[#This Row],[CO]])</calculatedColumnFormula>
    </tableColumn>
    <tableColumn id="10" xr3:uid="{45F75C42-7630-094F-82B2-84E53CBD74FA}" name="cot1" dataDxfId="18">
      <calculatedColumnFormula>IF(AND(required_cot&gt;=1,TBHPI[[#This Row],[Selected]]),VLOOKUP(TBHPI[[#This Row],[Strand]],indSelect_TBHP,10,FALSE)=1,FALSE)</calculatedColumnFormula>
    </tableColumn>
    <tableColumn id="11" xr3:uid="{9A1ACD5E-DFA0-DA42-B525-1A77F7D7F793}" name="cot2" dataDxfId="17">
      <calculatedColumnFormula>IF(AND(required_cot&gt;=2,TBHPI[[#This Row],[Selected]]),VLOOKUP(TBHPI[[#This Row],[Strand]],indSelect_TBHP,11,FALSE)=1,FALSE)</calculatedColumnFormula>
    </tableColumn>
    <tableColumn id="12" xr3:uid="{89502074-4913-C44C-A34E-7EDFB63CA588}" name="cot3" dataDxfId="16">
      <calculatedColumnFormula>IF(AND(required_cot&gt;=3,TBHPI[[#This Row],[Selected]]),VLOOKUP(TBHPI[[#This Row],[Strand]],indSelect_TBHP,12,FALSE)=1,FALSE)</calculatedColumnFormula>
    </tableColumn>
    <tableColumn id="13" xr3:uid="{42B6D459-D330-B647-AD0A-61673EE4B1B4}" name="cot4" dataDxfId="15">
      <calculatedColumnFormula>IF(AND(required_cot&gt;=4,TBHPI[[#This Row],[Selected]]),VLOOKUP(TBHPI[[#This Row],[Strand]],indSelect_TBHP,13,FALSE)=1,FALSE)</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49B0D0A-C784-41CE-9D17-9612BDF26708}" name="TBHPS" displayName="TBHPS" ref="A1:J54" totalsRowShown="0" headerRowDxfId="14" dataDxfId="12" headerRowBorderDxfId="13" tableBorderDxfId="11" totalsRowBorderDxfId="10">
  <autoFilter ref="A1:J54" xr:uid="{E49B0D0A-C784-41CE-9D17-9612BDF26708}"/>
  <tableColumns count="10">
    <tableColumn id="1" xr3:uid="{4500D865-F8F5-4859-8A6F-F3C4613A35B3}" name="Strand" dataDxfId="9"/>
    <tableColumn id="2" xr3:uid="{FF5D734A-4E1F-4056-9671-A26B6A9D0751}" name="CO" dataDxfId="8"/>
    <tableColumn id="3" xr3:uid="{BB046C84-24E4-4FD5-AE6F-8E09433799A8}" name="YR" dataDxfId="7"/>
    <tableColumn id="4" xr3:uid="{69C23E16-B85F-4CA0-B9D5-70DBF733C55A}" name="QET" dataDxfId="6"/>
    <tableColumn id="10" xr3:uid="{FD9A36AC-F196-4935-BA4D-BD27A7C3CA22}" name="helper" dataDxfId="5">
      <calculatedColumnFormula>TBHPS[[#This Row],[Strand]]&amp;"-"&amp;TBHPS[[#This Row],[QET]]&amp;"-"&amp;TBHPS[[#This Row],[CO]]</calculatedColumnFormula>
    </tableColumn>
    <tableColumn id="5" xr3:uid="{F3C2E26F-616A-4195-A2E5-D382D414274C}" name="Outstanding" dataDxfId="4"/>
    <tableColumn id="6" xr3:uid="{73C2EB59-9875-43EE-B61C-66FDEE1FBDB2}" name="Very Satisfactory" dataDxfId="3"/>
    <tableColumn id="7" xr3:uid="{F7003CB2-E999-4C8B-8465-5617316E14D4}" name="Satisfactory" dataDxfId="2"/>
    <tableColumn id="8" xr3:uid="{E21D93D7-71F2-49D7-B1CB-57853D13A7A1}" name="Unsatisfactory" dataDxfId="1"/>
    <tableColumn id="9" xr3:uid="{009CBD7E-84CB-4F2D-8C18-F6462C9B91AE}" name="Poor"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7" dT="2022-01-26T06:14:43.53" personId="{99762FD6-D040-41EB-9279-130B2B1FF7A5}" id="{CA72F96C-36DA-4008-BFB6-681886DC9D9C}">
    <text>edit phrasing based on Y3 indicators</text>
  </threadedComment>
</ThreadedComments>
</file>

<file path=xl/threadedComments/threadedComment2.xml><?xml version="1.0" encoding="utf-8"?>
<ThreadedComments xmlns="http://schemas.microsoft.com/office/spreadsheetml/2018/threadedcomments" xmlns:x="http://schemas.openxmlformats.org/spreadsheetml/2006/main">
  <threadedComment ref="F11" dT="2022-01-26T06:14:43.53" personId="{99762FD6-D040-41EB-9279-130B2B1FF7A5}" id="{3EC13945-A650-430E-B5DB-5401A8372849}">
    <text>edit phrasing based on Y3 indicators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8" Type="http://schemas.openxmlformats.org/officeDocument/2006/relationships/ctrlProp" Target="../ctrlProps/ctrlProp6.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39" Type="http://schemas.openxmlformats.org/officeDocument/2006/relationships/ctrlProp" Target="../ctrlProps/ctrlProp77.xml"/><Relationship Id="rId21" Type="http://schemas.openxmlformats.org/officeDocument/2006/relationships/ctrlProp" Target="../ctrlProps/ctrlProp59.xml"/><Relationship Id="rId34" Type="http://schemas.openxmlformats.org/officeDocument/2006/relationships/ctrlProp" Target="../ctrlProps/ctrlProp72.xml"/><Relationship Id="rId42" Type="http://schemas.openxmlformats.org/officeDocument/2006/relationships/ctrlProp" Target="../ctrlProps/ctrlProp80.xml"/><Relationship Id="rId7" Type="http://schemas.openxmlformats.org/officeDocument/2006/relationships/ctrlProp" Target="../ctrlProps/ctrlProp45.xml"/><Relationship Id="rId2" Type="http://schemas.openxmlformats.org/officeDocument/2006/relationships/drawing" Target="../drawings/drawing3.xml"/><Relationship Id="rId16" Type="http://schemas.openxmlformats.org/officeDocument/2006/relationships/ctrlProp" Target="../ctrlProps/ctrlProp54.xml"/><Relationship Id="rId20" Type="http://schemas.openxmlformats.org/officeDocument/2006/relationships/ctrlProp" Target="../ctrlProps/ctrlProp58.xml"/><Relationship Id="rId29" Type="http://schemas.openxmlformats.org/officeDocument/2006/relationships/ctrlProp" Target="../ctrlProps/ctrlProp67.xml"/><Relationship Id="rId41" Type="http://schemas.openxmlformats.org/officeDocument/2006/relationships/ctrlProp" Target="../ctrlProps/ctrlProp79.xml"/><Relationship Id="rId1" Type="http://schemas.openxmlformats.org/officeDocument/2006/relationships/printerSettings" Target="../printerSettings/printerSettings5.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40" Type="http://schemas.openxmlformats.org/officeDocument/2006/relationships/ctrlProp" Target="../ctrlProps/ctrlProp78.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 Id="rId43" Type="http://schemas.openxmlformats.org/officeDocument/2006/relationships/ctrlProp" Target="../ctrlProps/ctrlProp81.xml"/><Relationship Id="rId8" Type="http://schemas.openxmlformats.org/officeDocument/2006/relationships/ctrlProp" Target="../ctrlProps/ctrlProp46.xml"/><Relationship Id="rId3" Type="http://schemas.openxmlformats.org/officeDocument/2006/relationships/vmlDrawing" Target="../drawings/vmlDrawing3.v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trlProp" Target="../ctrlProps/ctrlProp76.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91.xml"/><Relationship Id="rId18" Type="http://schemas.openxmlformats.org/officeDocument/2006/relationships/ctrlProp" Target="../ctrlProps/ctrlProp96.xml"/><Relationship Id="rId26" Type="http://schemas.openxmlformats.org/officeDocument/2006/relationships/ctrlProp" Target="../ctrlProps/ctrlProp104.xml"/><Relationship Id="rId39" Type="http://schemas.openxmlformats.org/officeDocument/2006/relationships/ctrlProp" Target="../ctrlProps/ctrlProp117.xml"/><Relationship Id="rId21" Type="http://schemas.openxmlformats.org/officeDocument/2006/relationships/ctrlProp" Target="../ctrlProps/ctrlProp99.xml"/><Relationship Id="rId34" Type="http://schemas.openxmlformats.org/officeDocument/2006/relationships/ctrlProp" Target="../ctrlProps/ctrlProp112.xml"/><Relationship Id="rId42" Type="http://schemas.openxmlformats.org/officeDocument/2006/relationships/ctrlProp" Target="../ctrlProps/ctrlProp120.xml"/><Relationship Id="rId7" Type="http://schemas.openxmlformats.org/officeDocument/2006/relationships/ctrlProp" Target="../ctrlProps/ctrlProp85.xml"/><Relationship Id="rId2" Type="http://schemas.openxmlformats.org/officeDocument/2006/relationships/drawing" Target="../drawings/drawing4.xml"/><Relationship Id="rId16" Type="http://schemas.openxmlformats.org/officeDocument/2006/relationships/ctrlProp" Target="../ctrlProps/ctrlProp94.xml"/><Relationship Id="rId20" Type="http://schemas.openxmlformats.org/officeDocument/2006/relationships/ctrlProp" Target="../ctrlProps/ctrlProp98.xml"/><Relationship Id="rId29" Type="http://schemas.openxmlformats.org/officeDocument/2006/relationships/ctrlProp" Target="../ctrlProps/ctrlProp107.xml"/><Relationship Id="rId41" Type="http://schemas.openxmlformats.org/officeDocument/2006/relationships/ctrlProp" Target="../ctrlProps/ctrlProp119.xml"/><Relationship Id="rId1" Type="http://schemas.openxmlformats.org/officeDocument/2006/relationships/printerSettings" Target="../printerSettings/printerSettings6.bin"/><Relationship Id="rId6" Type="http://schemas.openxmlformats.org/officeDocument/2006/relationships/ctrlProp" Target="../ctrlProps/ctrlProp84.xml"/><Relationship Id="rId11" Type="http://schemas.openxmlformats.org/officeDocument/2006/relationships/ctrlProp" Target="../ctrlProps/ctrlProp89.xml"/><Relationship Id="rId24" Type="http://schemas.openxmlformats.org/officeDocument/2006/relationships/ctrlProp" Target="../ctrlProps/ctrlProp102.xml"/><Relationship Id="rId32" Type="http://schemas.openxmlformats.org/officeDocument/2006/relationships/ctrlProp" Target="../ctrlProps/ctrlProp110.xml"/><Relationship Id="rId37" Type="http://schemas.openxmlformats.org/officeDocument/2006/relationships/ctrlProp" Target="../ctrlProps/ctrlProp115.xml"/><Relationship Id="rId40" Type="http://schemas.openxmlformats.org/officeDocument/2006/relationships/ctrlProp" Target="../ctrlProps/ctrlProp118.xml"/><Relationship Id="rId5" Type="http://schemas.openxmlformats.org/officeDocument/2006/relationships/ctrlProp" Target="../ctrlProps/ctrlProp83.xml"/><Relationship Id="rId15" Type="http://schemas.openxmlformats.org/officeDocument/2006/relationships/ctrlProp" Target="../ctrlProps/ctrlProp93.xml"/><Relationship Id="rId23" Type="http://schemas.openxmlformats.org/officeDocument/2006/relationships/ctrlProp" Target="../ctrlProps/ctrlProp101.xml"/><Relationship Id="rId28" Type="http://schemas.openxmlformats.org/officeDocument/2006/relationships/ctrlProp" Target="../ctrlProps/ctrlProp106.xml"/><Relationship Id="rId36" Type="http://schemas.openxmlformats.org/officeDocument/2006/relationships/ctrlProp" Target="../ctrlProps/ctrlProp114.xml"/><Relationship Id="rId10" Type="http://schemas.openxmlformats.org/officeDocument/2006/relationships/ctrlProp" Target="../ctrlProps/ctrlProp88.xml"/><Relationship Id="rId19" Type="http://schemas.openxmlformats.org/officeDocument/2006/relationships/ctrlProp" Target="../ctrlProps/ctrlProp97.xml"/><Relationship Id="rId31" Type="http://schemas.openxmlformats.org/officeDocument/2006/relationships/ctrlProp" Target="../ctrlProps/ctrlProp109.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 Id="rId22" Type="http://schemas.openxmlformats.org/officeDocument/2006/relationships/ctrlProp" Target="../ctrlProps/ctrlProp100.xml"/><Relationship Id="rId27" Type="http://schemas.openxmlformats.org/officeDocument/2006/relationships/ctrlProp" Target="../ctrlProps/ctrlProp105.xml"/><Relationship Id="rId30" Type="http://schemas.openxmlformats.org/officeDocument/2006/relationships/ctrlProp" Target="../ctrlProps/ctrlProp108.xml"/><Relationship Id="rId35" Type="http://schemas.openxmlformats.org/officeDocument/2006/relationships/ctrlProp" Target="../ctrlProps/ctrlProp113.xml"/><Relationship Id="rId43" Type="http://schemas.openxmlformats.org/officeDocument/2006/relationships/ctrlProp" Target="../ctrlProps/ctrlProp121.xml"/><Relationship Id="rId8" Type="http://schemas.openxmlformats.org/officeDocument/2006/relationships/ctrlProp" Target="../ctrlProps/ctrlProp86.xml"/><Relationship Id="rId3" Type="http://schemas.openxmlformats.org/officeDocument/2006/relationships/vmlDrawing" Target="../drawings/vmlDrawing4.vml"/><Relationship Id="rId12" Type="http://schemas.openxmlformats.org/officeDocument/2006/relationships/ctrlProp" Target="../ctrlProps/ctrlProp90.xml"/><Relationship Id="rId17" Type="http://schemas.openxmlformats.org/officeDocument/2006/relationships/ctrlProp" Target="../ctrlProps/ctrlProp95.xml"/><Relationship Id="rId25" Type="http://schemas.openxmlformats.org/officeDocument/2006/relationships/ctrlProp" Target="../ctrlProps/ctrlProp103.xml"/><Relationship Id="rId33" Type="http://schemas.openxmlformats.org/officeDocument/2006/relationships/ctrlProp" Target="../ctrlProps/ctrlProp111.xml"/><Relationship Id="rId38" Type="http://schemas.openxmlformats.org/officeDocument/2006/relationships/ctrlProp" Target="../ctrlProps/ctrlProp116.x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131.xml"/><Relationship Id="rId18" Type="http://schemas.openxmlformats.org/officeDocument/2006/relationships/ctrlProp" Target="../ctrlProps/ctrlProp136.xml"/><Relationship Id="rId26" Type="http://schemas.openxmlformats.org/officeDocument/2006/relationships/ctrlProp" Target="../ctrlProps/ctrlProp144.xml"/><Relationship Id="rId39" Type="http://schemas.openxmlformats.org/officeDocument/2006/relationships/ctrlProp" Target="../ctrlProps/ctrlProp157.xml"/><Relationship Id="rId21" Type="http://schemas.openxmlformats.org/officeDocument/2006/relationships/ctrlProp" Target="../ctrlProps/ctrlProp139.xml"/><Relationship Id="rId34" Type="http://schemas.openxmlformats.org/officeDocument/2006/relationships/ctrlProp" Target="../ctrlProps/ctrlProp152.xml"/><Relationship Id="rId42" Type="http://schemas.openxmlformats.org/officeDocument/2006/relationships/ctrlProp" Target="../ctrlProps/ctrlProp160.xml"/><Relationship Id="rId7" Type="http://schemas.openxmlformats.org/officeDocument/2006/relationships/ctrlProp" Target="../ctrlProps/ctrlProp125.xml"/><Relationship Id="rId2" Type="http://schemas.openxmlformats.org/officeDocument/2006/relationships/drawing" Target="../drawings/drawing5.xml"/><Relationship Id="rId16" Type="http://schemas.openxmlformats.org/officeDocument/2006/relationships/ctrlProp" Target="../ctrlProps/ctrlProp134.xml"/><Relationship Id="rId20" Type="http://schemas.openxmlformats.org/officeDocument/2006/relationships/ctrlProp" Target="../ctrlProps/ctrlProp138.xml"/><Relationship Id="rId29" Type="http://schemas.openxmlformats.org/officeDocument/2006/relationships/ctrlProp" Target="../ctrlProps/ctrlProp147.xml"/><Relationship Id="rId41" Type="http://schemas.openxmlformats.org/officeDocument/2006/relationships/ctrlProp" Target="../ctrlProps/ctrlProp159.xml"/><Relationship Id="rId1" Type="http://schemas.openxmlformats.org/officeDocument/2006/relationships/printerSettings" Target="../printerSettings/printerSettings7.bin"/><Relationship Id="rId6" Type="http://schemas.openxmlformats.org/officeDocument/2006/relationships/ctrlProp" Target="../ctrlProps/ctrlProp124.xml"/><Relationship Id="rId11" Type="http://schemas.openxmlformats.org/officeDocument/2006/relationships/ctrlProp" Target="../ctrlProps/ctrlProp129.xml"/><Relationship Id="rId24" Type="http://schemas.openxmlformats.org/officeDocument/2006/relationships/ctrlProp" Target="../ctrlProps/ctrlProp142.xml"/><Relationship Id="rId32" Type="http://schemas.openxmlformats.org/officeDocument/2006/relationships/ctrlProp" Target="../ctrlProps/ctrlProp150.xml"/><Relationship Id="rId37" Type="http://schemas.openxmlformats.org/officeDocument/2006/relationships/ctrlProp" Target="../ctrlProps/ctrlProp155.xml"/><Relationship Id="rId40" Type="http://schemas.openxmlformats.org/officeDocument/2006/relationships/ctrlProp" Target="../ctrlProps/ctrlProp158.xml"/><Relationship Id="rId5" Type="http://schemas.openxmlformats.org/officeDocument/2006/relationships/ctrlProp" Target="../ctrlProps/ctrlProp123.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10" Type="http://schemas.openxmlformats.org/officeDocument/2006/relationships/ctrlProp" Target="../ctrlProps/ctrlProp128.xml"/><Relationship Id="rId19" Type="http://schemas.openxmlformats.org/officeDocument/2006/relationships/ctrlProp" Target="../ctrlProps/ctrlProp137.xml"/><Relationship Id="rId31" Type="http://schemas.openxmlformats.org/officeDocument/2006/relationships/ctrlProp" Target="../ctrlProps/ctrlProp149.xml"/><Relationship Id="rId4" Type="http://schemas.openxmlformats.org/officeDocument/2006/relationships/ctrlProp" Target="../ctrlProps/ctrlProp122.xml"/><Relationship Id="rId9" Type="http://schemas.openxmlformats.org/officeDocument/2006/relationships/ctrlProp" Target="../ctrlProps/ctrlProp127.xml"/><Relationship Id="rId14" Type="http://schemas.openxmlformats.org/officeDocument/2006/relationships/ctrlProp" Target="../ctrlProps/ctrlProp132.xml"/><Relationship Id="rId22" Type="http://schemas.openxmlformats.org/officeDocument/2006/relationships/ctrlProp" Target="../ctrlProps/ctrlProp140.xml"/><Relationship Id="rId27" Type="http://schemas.openxmlformats.org/officeDocument/2006/relationships/ctrlProp" Target="../ctrlProps/ctrlProp145.xml"/><Relationship Id="rId30" Type="http://schemas.openxmlformats.org/officeDocument/2006/relationships/ctrlProp" Target="../ctrlProps/ctrlProp148.xml"/><Relationship Id="rId35" Type="http://schemas.openxmlformats.org/officeDocument/2006/relationships/ctrlProp" Target="../ctrlProps/ctrlProp153.xml"/><Relationship Id="rId43" Type="http://schemas.openxmlformats.org/officeDocument/2006/relationships/ctrlProp" Target="../ctrlProps/ctrlProp161.xml"/><Relationship Id="rId8" Type="http://schemas.openxmlformats.org/officeDocument/2006/relationships/ctrlProp" Target="../ctrlProps/ctrlProp126.xml"/><Relationship Id="rId3" Type="http://schemas.openxmlformats.org/officeDocument/2006/relationships/vmlDrawing" Target="../drawings/vmlDrawing5.v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66.xml"/><Relationship Id="rId3" Type="http://schemas.openxmlformats.org/officeDocument/2006/relationships/vmlDrawing" Target="../drawings/vmlDrawing6.vml"/><Relationship Id="rId7" Type="http://schemas.openxmlformats.org/officeDocument/2006/relationships/ctrlProp" Target="../ctrlProps/ctrlProp16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164.xml"/><Relationship Id="rId5" Type="http://schemas.openxmlformats.org/officeDocument/2006/relationships/ctrlProp" Target="../ctrlProps/ctrlProp163.xml"/><Relationship Id="rId4" Type="http://schemas.openxmlformats.org/officeDocument/2006/relationships/ctrlProp" Target="../ctrlProps/ctrlProp162.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168.xml"/><Relationship Id="rId4" Type="http://schemas.openxmlformats.org/officeDocument/2006/relationships/ctrlProp" Target="../ctrlProps/ctrlProp167.xml"/></Relationships>
</file>

<file path=xl/worksheets/_rels/sheet21.xml.rels><?xml version="1.0" encoding="UTF-8" standalone="yes"?>
<Relationships xmlns="http://schemas.openxmlformats.org/package/2006/relationships"><Relationship Id="rId26" Type="http://schemas.openxmlformats.org/officeDocument/2006/relationships/ctrlProp" Target="../ctrlProps/ctrlProp191.xml"/><Relationship Id="rId21" Type="http://schemas.openxmlformats.org/officeDocument/2006/relationships/ctrlProp" Target="../ctrlProps/ctrlProp186.xml"/><Relationship Id="rId42" Type="http://schemas.openxmlformats.org/officeDocument/2006/relationships/ctrlProp" Target="../ctrlProps/ctrlProp207.xml"/><Relationship Id="rId47" Type="http://schemas.openxmlformats.org/officeDocument/2006/relationships/ctrlProp" Target="../ctrlProps/ctrlProp212.xml"/><Relationship Id="rId63" Type="http://schemas.openxmlformats.org/officeDocument/2006/relationships/ctrlProp" Target="../ctrlProps/ctrlProp228.xml"/><Relationship Id="rId68" Type="http://schemas.openxmlformats.org/officeDocument/2006/relationships/ctrlProp" Target="../ctrlProps/ctrlProp233.xml"/><Relationship Id="rId2" Type="http://schemas.openxmlformats.org/officeDocument/2006/relationships/drawing" Target="../drawings/drawing8.xml"/><Relationship Id="rId16" Type="http://schemas.openxmlformats.org/officeDocument/2006/relationships/ctrlProp" Target="../ctrlProps/ctrlProp181.xml"/><Relationship Id="rId29" Type="http://schemas.openxmlformats.org/officeDocument/2006/relationships/ctrlProp" Target="../ctrlProps/ctrlProp194.xml"/><Relationship Id="rId11" Type="http://schemas.openxmlformats.org/officeDocument/2006/relationships/ctrlProp" Target="../ctrlProps/ctrlProp176.xml"/><Relationship Id="rId24" Type="http://schemas.openxmlformats.org/officeDocument/2006/relationships/ctrlProp" Target="../ctrlProps/ctrlProp189.xml"/><Relationship Id="rId32" Type="http://schemas.openxmlformats.org/officeDocument/2006/relationships/ctrlProp" Target="../ctrlProps/ctrlProp197.xml"/><Relationship Id="rId37" Type="http://schemas.openxmlformats.org/officeDocument/2006/relationships/ctrlProp" Target="../ctrlProps/ctrlProp202.xml"/><Relationship Id="rId40" Type="http://schemas.openxmlformats.org/officeDocument/2006/relationships/ctrlProp" Target="../ctrlProps/ctrlProp205.xml"/><Relationship Id="rId45" Type="http://schemas.openxmlformats.org/officeDocument/2006/relationships/ctrlProp" Target="../ctrlProps/ctrlProp210.xml"/><Relationship Id="rId53" Type="http://schemas.openxmlformats.org/officeDocument/2006/relationships/ctrlProp" Target="../ctrlProps/ctrlProp218.xml"/><Relationship Id="rId58" Type="http://schemas.openxmlformats.org/officeDocument/2006/relationships/ctrlProp" Target="../ctrlProps/ctrlProp223.xml"/><Relationship Id="rId66" Type="http://schemas.openxmlformats.org/officeDocument/2006/relationships/ctrlProp" Target="../ctrlProps/ctrlProp231.xml"/><Relationship Id="rId5" Type="http://schemas.openxmlformats.org/officeDocument/2006/relationships/ctrlProp" Target="../ctrlProps/ctrlProp170.xml"/><Relationship Id="rId61" Type="http://schemas.openxmlformats.org/officeDocument/2006/relationships/ctrlProp" Target="../ctrlProps/ctrlProp226.xml"/><Relationship Id="rId19" Type="http://schemas.openxmlformats.org/officeDocument/2006/relationships/ctrlProp" Target="../ctrlProps/ctrlProp184.xml"/><Relationship Id="rId14" Type="http://schemas.openxmlformats.org/officeDocument/2006/relationships/ctrlProp" Target="../ctrlProps/ctrlProp179.xml"/><Relationship Id="rId22" Type="http://schemas.openxmlformats.org/officeDocument/2006/relationships/ctrlProp" Target="../ctrlProps/ctrlProp187.xml"/><Relationship Id="rId27" Type="http://schemas.openxmlformats.org/officeDocument/2006/relationships/ctrlProp" Target="../ctrlProps/ctrlProp192.xml"/><Relationship Id="rId30" Type="http://schemas.openxmlformats.org/officeDocument/2006/relationships/ctrlProp" Target="../ctrlProps/ctrlProp195.xml"/><Relationship Id="rId35" Type="http://schemas.openxmlformats.org/officeDocument/2006/relationships/ctrlProp" Target="../ctrlProps/ctrlProp200.xml"/><Relationship Id="rId43" Type="http://schemas.openxmlformats.org/officeDocument/2006/relationships/ctrlProp" Target="../ctrlProps/ctrlProp208.xml"/><Relationship Id="rId48" Type="http://schemas.openxmlformats.org/officeDocument/2006/relationships/ctrlProp" Target="../ctrlProps/ctrlProp213.xml"/><Relationship Id="rId56" Type="http://schemas.openxmlformats.org/officeDocument/2006/relationships/ctrlProp" Target="../ctrlProps/ctrlProp221.xml"/><Relationship Id="rId64" Type="http://schemas.openxmlformats.org/officeDocument/2006/relationships/ctrlProp" Target="../ctrlProps/ctrlProp229.xml"/><Relationship Id="rId69" Type="http://schemas.openxmlformats.org/officeDocument/2006/relationships/ctrlProp" Target="../ctrlProps/ctrlProp234.xml"/><Relationship Id="rId8" Type="http://schemas.openxmlformats.org/officeDocument/2006/relationships/ctrlProp" Target="../ctrlProps/ctrlProp173.xml"/><Relationship Id="rId51" Type="http://schemas.openxmlformats.org/officeDocument/2006/relationships/ctrlProp" Target="../ctrlProps/ctrlProp216.xml"/><Relationship Id="rId72" Type="http://schemas.openxmlformats.org/officeDocument/2006/relationships/ctrlProp" Target="../ctrlProps/ctrlProp237.xml"/><Relationship Id="rId3" Type="http://schemas.openxmlformats.org/officeDocument/2006/relationships/vmlDrawing" Target="../drawings/vmlDrawing8.vml"/><Relationship Id="rId12" Type="http://schemas.openxmlformats.org/officeDocument/2006/relationships/ctrlProp" Target="../ctrlProps/ctrlProp177.xml"/><Relationship Id="rId17" Type="http://schemas.openxmlformats.org/officeDocument/2006/relationships/ctrlProp" Target="../ctrlProps/ctrlProp182.xml"/><Relationship Id="rId25" Type="http://schemas.openxmlformats.org/officeDocument/2006/relationships/ctrlProp" Target="../ctrlProps/ctrlProp190.xml"/><Relationship Id="rId33" Type="http://schemas.openxmlformats.org/officeDocument/2006/relationships/ctrlProp" Target="../ctrlProps/ctrlProp198.xml"/><Relationship Id="rId38" Type="http://schemas.openxmlformats.org/officeDocument/2006/relationships/ctrlProp" Target="../ctrlProps/ctrlProp203.xml"/><Relationship Id="rId46" Type="http://schemas.openxmlformats.org/officeDocument/2006/relationships/ctrlProp" Target="../ctrlProps/ctrlProp211.xml"/><Relationship Id="rId59" Type="http://schemas.openxmlformats.org/officeDocument/2006/relationships/ctrlProp" Target="../ctrlProps/ctrlProp224.xml"/><Relationship Id="rId67" Type="http://schemas.openxmlformats.org/officeDocument/2006/relationships/ctrlProp" Target="../ctrlProps/ctrlProp232.xml"/><Relationship Id="rId20" Type="http://schemas.openxmlformats.org/officeDocument/2006/relationships/ctrlProp" Target="../ctrlProps/ctrlProp185.xml"/><Relationship Id="rId41" Type="http://schemas.openxmlformats.org/officeDocument/2006/relationships/ctrlProp" Target="../ctrlProps/ctrlProp206.xml"/><Relationship Id="rId54" Type="http://schemas.openxmlformats.org/officeDocument/2006/relationships/ctrlProp" Target="../ctrlProps/ctrlProp219.xml"/><Relationship Id="rId62" Type="http://schemas.openxmlformats.org/officeDocument/2006/relationships/ctrlProp" Target="../ctrlProps/ctrlProp227.xml"/><Relationship Id="rId70" Type="http://schemas.openxmlformats.org/officeDocument/2006/relationships/ctrlProp" Target="../ctrlProps/ctrlProp235.xml"/><Relationship Id="rId1" Type="http://schemas.openxmlformats.org/officeDocument/2006/relationships/printerSettings" Target="../printerSettings/printerSettings10.bin"/><Relationship Id="rId6" Type="http://schemas.openxmlformats.org/officeDocument/2006/relationships/ctrlProp" Target="../ctrlProps/ctrlProp171.xml"/><Relationship Id="rId15" Type="http://schemas.openxmlformats.org/officeDocument/2006/relationships/ctrlProp" Target="../ctrlProps/ctrlProp180.xml"/><Relationship Id="rId23" Type="http://schemas.openxmlformats.org/officeDocument/2006/relationships/ctrlProp" Target="../ctrlProps/ctrlProp188.xml"/><Relationship Id="rId28" Type="http://schemas.openxmlformats.org/officeDocument/2006/relationships/ctrlProp" Target="../ctrlProps/ctrlProp193.xml"/><Relationship Id="rId36" Type="http://schemas.openxmlformats.org/officeDocument/2006/relationships/ctrlProp" Target="../ctrlProps/ctrlProp201.xml"/><Relationship Id="rId49" Type="http://schemas.openxmlformats.org/officeDocument/2006/relationships/ctrlProp" Target="../ctrlProps/ctrlProp214.xml"/><Relationship Id="rId57" Type="http://schemas.openxmlformats.org/officeDocument/2006/relationships/ctrlProp" Target="../ctrlProps/ctrlProp222.xml"/><Relationship Id="rId10" Type="http://schemas.openxmlformats.org/officeDocument/2006/relationships/ctrlProp" Target="../ctrlProps/ctrlProp175.xml"/><Relationship Id="rId31" Type="http://schemas.openxmlformats.org/officeDocument/2006/relationships/ctrlProp" Target="../ctrlProps/ctrlProp196.xml"/><Relationship Id="rId44" Type="http://schemas.openxmlformats.org/officeDocument/2006/relationships/ctrlProp" Target="../ctrlProps/ctrlProp209.xml"/><Relationship Id="rId52" Type="http://schemas.openxmlformats.org/officeDocument/2006/relationships/ctrlProp" Target="../ctrlProps/ctrlProp217.xml"/><Relationship Id="rId60" Type="http://schemas.openxmlformats.org/officeDocument/2006/relationships/ctrlProp" Target="../ctrlProps/ctrlProp225.xml"/><Relationship Id="rId65" Type="http://schemas.openxmlformats.org/officeDocument/2006/relationships/ctrlProp" Target="../ctrlProps/ctrlProp230.xml"/><Relationship Id="rId73" Type="http://schemas.openxmlformats.org/officeDocument/2006/relationships/ctrlProp" Target="../ctrlProps/ctrlProp238.xml"/><Relationship Id="rId4" Type="http://schemas.openxmlformats.org/officeDocument/2006/relationships/ctrlProp" Target="../ctrlProps/ctrlProp169.xml"/><Relationship Id="rId9" Type="http://schemas.openxmlformats.org/officeDocument/2006/relationships/ctrlProp" Target="../ctrlProps/ctrlProp174.xml"/><Relationship Id="rId13" Type="http://schemas.openxmlformats.org/officeDocument/2006/relationships/ctrlProp" Target="../ctrlProps/ctrlProp178.xml"/><Relationship Id="rId18" Type="http://schemas.openxmlformats.org/officeDocument/2006/relationships/ctrlProp" Target="../ctrlProps/ctrlProp183.xml"/><Relationship Id="rId39" Type="http://schemas.openxmlformats.org/officeDocument/2006/relationships/ctrlProp" Target="../ctrlProps/ctrlProp204.xml"/><Relationship Id="rId34" Type="http://schemas.openxmlformats.org/officeDocument/2006/relationships/ctrlProp" Target="../ctrlProps/ctrlProp199.xml"/><Relationship Id="rId50" Type="http://schemas.openxmlformats.org/officeDocument/2006/relationships/ctrlProp" Target="../ctrlProps/ctrlProp215.xml"/><Relationship Id="rId55" Type="http://schemas.openxmlformats.org/officeDocument/2006/relationships/ctrlProp" Target="../ctrlProps/ctrlProp220.xml"/><Relationship Id="rId7" Type="http://schemas.openxmlformats.org/officeDocument/2006/relationships/ctrlProp" Target="../ctrlProps/ctrlProp172.xml"/><Relationship Id="rId71" Type="http://schemas.openxmlformats.org/officeDocument/2006/relationships/ctrlProp" Target="../ctrlProps/ctrlProp236.x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248.xml"/><Relationship Id="rId18" Type="http://schemas.openxmlformats.org/officeDocument/2006/relationships/ctrlProp" Target="../ctrlProps/ctrlProp253.xml"/><Relationship Id="rId26" Type="http://schemas.openxmlformats.org/officeDocument/2006/relationships/ctrlProp" Target="../ctrlProps/ctrlProp261.xml"/><Relationship Id="rId39" Type="http://schemas.openxmlformats.org/officeDocument/2006/relationships/ctrlProp" Target="../ctrlProps/ctrlProp274.xml"/><Relationship Id="rId21" Type="http://schemas.openxmlformats.org/officeDocument/2006/relationships/ctrlProp" Target="../ctrlProps/ctrlProp256.xml"/><Relationship Id="rId34" Type="http://schemas.openxmlformats.org/officeDocument/2006/relationships/ctrlProp" Target="../ctrlProps/ctrlProp269.xml"/><Relationship Id="rId42" Type="http://schemas.openxmlformats.org/officeDocument/2006/relationships/ctrlProp" Target="../ctrlProps/ctrlProp277.xml"/><Relationship Id="rId47" Type="http://schemas.openxmlformats.org/officeDocument/2006/relationships/ctrlProp" Target="../ctrlProps/ctrlProp282.xml"/><Relationship Id="rId50" Type="http://schemas.openxmlformats.org/officeDocument/2006/relationships/ctrlProp" Target="../ctrlProps/ctrlProp285.xml"/><Relationship Id="rId55" Type="http://schemas.openxmlformats.org/officeDocument/2006/relationships/ctrlProp" Target="../ctrlProps/ctrlProp290.xml"/><Relationship Id="rId7" Type="http://schemas.openxmlformats.org/officeDocument/2006/relationships/ctrlProp" Target="../ctrlProps/ctrlProp242.xml"/><Relationship Id="rId2" Type="http://schemas.openxmlformats.org/officeDocument/2006/relationships/drawing" Target="../drawings/drawing9.xml"/><Relationship Id="rId16" Type="http://schemas.openxmlformats.org/officeDocument/2006/relationships/ctrlProp" Target="../ctrlProps/ctrlProp251.xml"/><Relationship Id="rId29" Type="http://schemas.openxmlformats.org/officeDocument/2006/relationships/ctrlProp" Target="../ctrlProps/ctrlProp264.xml"/><Relationship Id="rId11" Type="http://schemas.openxmlformats.org/officeDocument/2006/relationships/ctrlProp" Target="../ctrlProps/ctrlProp246.xml"/><Relationship Id="rId24" Type="http://schemas.openxmlformats.org/officeDocument/2006/relationships/ctrlProp" Target="../ctrlProps/ctrlProp259.xml"/><Relationship Id="rId32" Type="http://schemas.openxmlformats.org/officeDocument/2006/relationships/ctrlProp" Target="../ctrlProps/ctrlProp267.xml"/><Relationship Id="rId37" Type="http://schemas.openxmlformats.org/officeDocument/2006/relationships/ctrlProp" Target="../ctrlProps/ctrlProp272.xml"/><Relationship Id="rId40" Type="http://schemas.openxmlformats.org/officeDocument/2006/relationships/ctrlProp" Target="../ctrlProps/ctrlProp275.xml"/><Relationship Id="rId45" Type="http://schemas.openxmlformats.org/officeDocument/2006/relationships/ctrlProp" Target="../ctrlProps/ctrlProp280.xml"/><Relationship Id="rId53" Type="http://schemas.openxmlformats.org/officeDocument/2006/relationships/ctrlProp" Target="../ctrlProps/ctrlProp288.xml"/><Relationship Id="rId5" Type="http://schemas.openxmlformats.org/officeDocument/2006/relationships/ctrlProp" Target="../ctrlProps/ctrlProp240.xml"/><Relationship Id="rId10" Type="http://schemas.openxmlformats.org/officeDocument/2006/relationships/ctrlProp" Target="../ctrlProps/ctrlProp245.xml"/><Relationship Id="rId19" Type="http://schemas.openxmlformats.org/officeDocument/2006/relationships/ctrlProp" Target="../ctrlProps/ctrlProp254.xml"/><Relationship Id="rId31" Type="http://schemas.openxmlformats.org/officeDocument/2006/relationships/ctrlProp" Target="../ctrlProps/ctrlProp266.xml"/><Relationship Id="rId44" Type="http://schemas.openxmlformats.org/officeDocument/2006/relationships/ctrlProp" Target="../ctrlProps/ctrlProp279.xml"/><Relationship Id="rId52" Type="http://schemas.openxmlformats.org/officeDocument/2006/relationships/ctrlProp" Target="../ctrlProps/ctrlProp287.xml"/><Relationship Id="rId4" Type="http://schemas.openxmlformats.org/officeDocument/2006/relationships/ctrlProp" Target="../ctrlProps/ctrlProp239.xml"/><Relationship Id="rId9" Type="http://schemas.openxmlformats.org/officeDocument/2006/relationships/ctrlProp" Target="../ctrlProps/ctrlProp244.xml"/><Relationship Id="rId14" Type="http://schemas.openxmlformats.org/officeDocument/2006/relationships/ctrlProp" Target="../ctrlProps/ctrlProp249.xml"/><Relationship Id="rId22" Type="http://schemas.openxmlformats.org/officeDocument/2006/relationships/ctrlProp" Target="../ctrlProps/ctrlProp257.xml"/><Relationship Id="rId27" Type="http://schemas.openxmlformats.org/officeDocument/2006/relationships/ctrlProp" Target="../ctrlProps/ctrlProp262.xml"/><Relationship Id="rId30" Type="http://schemas.openxmlformats.org/officeDocument/2006/relationships/ctrlProp" Target="../ctrlProps/ctrlProp265.xml"/><Relationship Id="rId35" Type="http://schemas.openxmlformats.org/officeDocument/2006/relationships/ctrlProp" Target="../ctrlProps/ctrlProp270.xml"/><Relationship Id="rId43" Type="http://schemas.openxmlformats.org/officeDocument/2006/relationships/ctrlProp" Target="../ctrlProps/ctrlProp278.xml"/><Relationship Id="rId48" Type="http://schemas.openxmlformats.org/officeDocument/2006/relationships/ctrlProp" Target="../ctrlProps/ctrlProp283.xml"/><Relationship Id="rId56" Type="http://schemas.openxmlformats.org/officeDocument/2006/relationships/ctrlProp" Target="../ctrlProps/ctrlProp291.xml"/><Relationship Id="rId8" Type="http://schemas.openxmlformats.org/officeDocument/2006/relationships/ctrlProp" Target="../ctrlProps/ctrlProp243.xml"/><Relationship Id="rId51" Type="http://schemas.openxmlformats.org/officeDocument/2006/relationships/ctrlProp" Target="../ctrlProps/ctrlProp286.xml"/><Relationship Id="rId3" Type="http://schemas.openxmlformats.org/officeDocument/2006/relationships/vmlDrawing" Target="../drawings/vmlDrawing9.vml"/><Relationship Id="rId12" Type="http://schemas.openxmlformats.org/officeDocument/2006/relationships/ctrlProp" Target="../ctrlProps/ctrlProp247.xml"/><Relationship Id="rId17" Type="http://schemas.openxmlformats.org/officeDocument/2006/relationships/ctrlProp" Target="../ctrlProps/ctrlProp252.xml"/><Relationship Id="rId25" Type="http://schemas.openxmlformats.org/officeDocument/2006/relationships/ctrlProp" Target="../ctrlProps/ctrlProp260.xml"/><Relationship Id="rId33" Type="http://schemas.openxmlformats.org/officeDocument/2006/relationships/ctrlProp" Target="../ctrlProps/ctrlProp268.xml"/><Relationship Id="rId38" Type="http://schemas.openxmlformats.org/officeDocument/2006/relationships/ctrlProp" Target="../ctrlProps/ctrlProp273.xml"/><Relationship Id="rId46" Type="http://schemas.openxmlformats.org/officeDocument/2006/relationships/ctrlProp" Target="../ctrlProps/ctrlProp281.xml"/><Relationship Id="rId20" Type="http://schemas.openxmlformats.org/officeDocument/2006/relationships/ctrlProp" Target="../ctrlProps/ctrlProp255.xml"/><Relationship Id="rId41" Type="http://schemas.openxmlformats.org/officeDocument/2006/relationships/ctrlProp" Target="../ctrlProps/ctrlProp276.xml"/><Relationship Id="rId54" Type="http://schemas.openxmlformats.org/officeDocument/2006/relationships/ctrlProp" Target="../ctrlProps/ctrlProp289.xml"/><Relationship Id="rId1" Type="http://schemas.openxmlformats.org/officeDocument/2006/relationships/printerSettings" Target="../printerSettings/printerSettings11.bin"/><Relationship Id="rId6" Type="http://schemas.openxmlformats.org/officeDocument/2006/relationships/ctrlProp" Target="../ctrlProps/ctrlProp241.xml"/><Relationship Id="rId15" Type="http://schemas.openxmlformats.org/officeDocument/2006/relationships/ctrlProp" Target="../ctrlProps/ctrlProp250.xml"/><Relationship Id="rId23" Type="http://schemas.openxmlformats.org/officeDocument/2006/relationships/ctrlProp" Target="../ctrlProps/ctrlProp258.xml"/><Relationship Id="rId28" Type="http://schemas.openxmlformats.org/officeDocument/2006/relationships/ctrlProp" Target="../ctrlProps/ctrlProp263.xml"/><Relationship Id="rId36" Type="http://schemas.openxmlformats.org/officeDocument/2006/relationships/ctrlProp" Target="../ctrlProps/ctrlProp271.xml"/><Relationship Id="rId49" Type="http://schemas.openxmlformats.org/officeDocument/2006/relationships/ctrlProp" Target="../ctrlProps/ctrlProp284.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95.xml"/><Relationship Id="rId3" Type="http://schemas.openxmlformats.org/officeDocument/2006/relationships/vmlDrawing" Target="../drawings/vmlDrawing10.vml"/><Relationship Id="rId7" Type="http://schemas.openxmlformats.org/officeDocument/2006/relationships/ctrlProp" Target="../ctrlProps/ctrlProp294.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293.xml"/><Relationship Id="rId11" Type="http://schemas.openxmlformats.org/officeDocument/2006/relationships/ctrlProp" Target="../ctrlProps/ctrlProp298.xml"/><Relationship Id="rId5" Type="http://schemas.openxmlformats.org/officeDocument/2006/relationships/ctrlProp" Target="../ctrlProps/ctrlProp292.xml"/><Relationship Id="rId10" Type="http://schemas.openxmlformats.org/officeDocument/2006/relationships/ctrlProp" Target="../ctrlProps/ctrlProp297.xml"/><Relationship Id="rId4" Type="http://schemas.openxmlformats.org/officeDocument/2006/relationships/vmlDrawing" Target="../drawings/vmlDrawing11.vml"/><Relationship Id="rId9" Type="http://schemas.openxmlformats.org/officeDocument/2006/relationships/ctrlProp" Target="../ctrlProps/ctrlProp296.x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308.xml"/><Relationship Id="rId18" Type="http://schemas.openxmlformats.org/officeDocument/2006/relationships/ctrlProp" Target="../ctrlProps/ctrlProp313.xml"/><Relationship Id="rId26" Type="http://schemas.openxmlformats.org/officeDocument/2006/relationships/ctrlProp" Target="../ctrlProps/ctrlProp321.xml"/><Relationship Id="rId3" Type="http://schemas.openxmlformats.org/officeDocument/2006/relationships/vmlDrawing" Target="../drawings/vmlDrawing12.vml"/><Relationship Id="rId21" Type="http://schemas.openxmlformats.org/officeDocument/2006/relationships/ctrlProp" Target="../ctrlProps/ctrlProp316.xml"/><Relationship Id="rId34" Type="http://schemas.openxmlformats.org/officeDocument/2006/relationships/ctrlProp" Target="../ctrlProps/ctrlProp329.xml"/><Relationship Id="rId7" Type="http://schemas.openxmlformats.org/officeDocument/2006/relationships/ctrlProp" Target="../ctrlProps/ctrlProp302.xml"/><Relationship Id="rId12" Type="http://schemas.openxmlformats.org/officeDocument/2006/relationships/ctrlProp" Target="../ctrlProps/ctrlProp307.xml"/><Relationship Id="rId17" Type="http://schemas.openxmlformats.org/officeDocument/2006/relationships/ctrlProp" Target="../ctrlProps/ctrlProp312.xml"/><Relationship Id="rId25" Type="http://schemas.openxmlformats.org/officeDocument/2006/relationships/ctrlProp" Target="../ctrlProps/ctrlProp320.xml"/><Relationship Id="rId33" Type="http://schemas.openxmlformats.org/officeDocument/2006/relationships/ctrlProp" Target="../ctrlProps/ctrlProp328.xml"/><Relationship Id="rId2" Type="http://schemas.openxmlformats.org/officeDocument/2006/relationships/drawing" Target="../drawings/drawing11.xml"/><Relationship Id="rId16" Type="http://schemas.openxmlformats.org/officeDocument/2006/relationships/ctrlProp" Target="../ctrlProps/ctrlProp311.xml"/><Relationship Id="rId20" Type="http://schemas.openxmlformats.org/officeDocument/2006/relationships/ctrlProp" Target="../ctrlProps/ctrlProp315.xml"/><Relationship Id="rId29" Type="http://schemas.openxmlformats.org/officeDocument/2006/relationships/ctrlProp" Target="../ctrlProps/ctrlProp324.xml"/><Relationship Id="rId1" Type="http://schemas.openxmlformats.org/officeDocument/2006/relationships/printerSettings" Target="../printerSettings/printerSettings13.bin"/><Relationship Id="rId6" Type="http://schemas.openxmlformats.org/officeDocument/2006/relationships/ctrlProp" Target="../ctrlProps/ctrlProp301.xml"/><Relationship Id="rId11" Type="http://schemas.openxmlformats.org/officeDocument/2006/relationships/ctrlProp" Target="../ctrlProps/ctrlProp306.xml"/><Relationship Id="rId24" Type="http://schemas.openxmlformats.org/officeDocument/2006/relationships/ctrlProp" Target="../ctrlProps/ctrlProp319.xml"/><Relationship Id="rId32" Type="http://schemas.openxmlformats.org/officeDocument/2006/relationships/ctrlProp" Target="../ctrlProps/ctrlProp327.xml"/><Relationship Id="rId5" Type="http://schemas.openxmlformats.org/officeDocument/2006/relationships/ctrlProp" Target="../ctrlProps/ctrlProp300.xml"/><Relationship Id="rId15" Type="http://schemas.openxmlformats.org/officeDocument/2006/relationships/ctrlProp" Target="../ctrlProps/ctrlProp310.xml"/><Relationship Id="rId23" Type="http://schemas.openxmlformats.org/officeDocument/2006/relationships/ctrlProp" Target="../ctrlProps/ctrlProp318.xml"/><Relationship Id="rId28" Type="http://schemas.openxmlformats.org/officeDocument/2006/relationships/ctrlProp" Target="../ctrlProps/ctrlProp323.xml"/><Relationship Id="rId10" Type="http://schemas.openxmlformats.org/officeDocument/2006/relationships/ctrlProp" Target="../ctrlProps/ctrlProp305.xml"/><Relationship Id="rId19" Type="http://schemas.openxmlformats.org/officeDocument/2006/relationships/ctrlProp" Target="../ctrlProps/ctrlProp314.xml"/><Relationship Id="rId31" Type="http://schemas.openxmlformats.org/officeDocument/2006/relationships/ctrlProp" Target="../ctrlProps/ctrlProp326.xml"/><Relationship Id="rId4" Type="http://schemas.openxmlformats.org/officeDocument/2006/relationships/ctrlProp" Target="../ctrlProps/ctrlProp299.xml"/><Relationship Id="rId9" Type="http://schemas.openxmlformats.org/officeDocument/2006/relationships/ctrlProp" Target="../ctrlProps/ctrlProp304.xml"/><Relationship Id="rId14" Type="http://schemas.openxmlformats.org/officeDocument/2006/relationships/ctrlProp" Target="../ctrlProps/ctrlProp309.xml"/><Relationship Id="rId22" Type="http://schemas.openxmlformats.org/officeDocument/2006/relationships/ctrlProp" Target="../ctrlProps/ctrlProp317.xml"/><Relationship Id="rId27" Type="http://schemas.openxmlformats.org/officeDocument/2006/relationships/ctrlProp" Target="../ctrlProps/ctrlProp322.xml"/><Relationship Id="rId30" Type="http://schemas.openxmlformats.org/officeDocument/2006/relationships/ctrlProp" Target="../ctrlProps/ctrlProp325.xml"/><Relationship Id="rId8" Type="http://schemas.openxmlformats.org/officeDocument/2006/relationships/ctrlProp" Target="../ctrlProps/ctrlProp30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ctrlProp" Target="../ctrlProps/ctrlProp330.xml"/><Relationship Id="rId4" Type="http://schemas.openxmlformats.org/officeDocument/2006/relationships/vmlDrawing" Target="../drawings/vmlDrawing14.vml"/></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7.bin"/><Relationship Id="rId6" Type="http://schemas.openxmlformats.org/officeDocument/2006/relationships/ctrlProp" Target="../ctrlProps/ctrlProp332.xml"/><Relationship Id="rId5" Type="http://schemas.openxmlformats.org/officeDocument/2006/relationships/ctrlProp" Target="../ctrlProps/ctrlProp331.xml"/><Relationship Id="rId4" Type="http://schemas.openxmlformats.org/officeDocument/2006/relationships/vmlDrawing" Target="../drawings/vmlDrawing18.vml"/></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19.vml"/><Relationship Id="rId1" Type="http://schemas.openxmlformats.org/officeDocument/2006/relationships/printerSettings" Target="../printerSettings/printerSettings20.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20.vml"/><Relationship Id="rId1" Type="http://schemas.openxmlformats.org/officeDocument/2006/relationships/printerSettings" Target="../printerSettings/printerSettings24.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DA9EB-F242-4C19-B8A5-1583CB5FC6A6}">
  <sheetPr codeName="meta"/>
  <dimension ref="A1:B29"/>
  <sheetViews>
    <sheetView workbookViewId="0">
      <selection activeCell="B7" sqref="B7"/>
    </sheetView>
  </sheetViews>
  <sheetFormatPr defaultColWidth="10.85546875" defaultRowHeight="23.25" x14ac:dyDescent="0.35"/>
  <cols>
    <col min="1" max="1" width="32.28515625" style="57" customWidth="1"/>
    <col min="2" max="2" width="38.28515625" style="57" customWidth="1"/>
    <col min="3" max="16384" width="10.85546875" style="57"/>
  </cols>
  <sheetData>
    <row r="1" spans="1:2" x14ac:dyDescent="0.35">
      <c r="A1" s="56" t="s">
        <v>0</v>
      </c>
      <c r="B1" s="56" t="s">
        <v>1</v>
      </c>
    </row>
    <row r="2" spans="1:2" x14ac:dyDescent="0.35">
      <c r="A2" s="57" t="s">
        <v>2</v>
      </c>
      <c r="B2" s="57" t="s">
        <v>3</v>
      </c>
    </row>
    <row r="3" spans="1:2" x14ac:dyDescent="0.35">
      <c r="A3" s="57" t="s">
        <v>4</v>
      </c>
      <c r="B3" s="57">
        <v>4.3</v>
      </c>
    </row>
    <row r="4" spans="1:2" x14ac:dyDescent="0.35">
      <c r="A4" s="57" t="s">
        <v>5</v>
      </c>
      <c r="B4" s="57" t="str" cm="1">
        <f t="array" ref="B4">demographics[rating_period]</f>
        <v>SY 2023-2024</v>
      </c>
    </row>
    <row r="5" spans="1:2" x14ac:dyDescent="0.35">
      <c r="A5" s="57" t="s">
        <v>6</v>
      </c>
      <c r="B5" s="57" t="str" cm="1">
        <f t="array" ref="B5">IFERROR(VLOOKUP(demographics[teacher_type],teacher_type_code_lookup,2,FALSE),"R")</f>
        <v>R</v>
      </c>
    </row>
    <row r="6" spans="1:2" x14ac:dyDescent="0.35">
      <c r="A6" s="57" t="s">
        <v>7</v>
      </c>
      <c r="B6" s="57" t="str" cm="1">
        <f t="array" ref="B6">demographics[career_stage]</f>
        <v>P</v>
      </c>
    </row>
    <row r="7" spans="1:2" x14ac:dyDescent="0.35">
      <c r="A7" s="57" t="s">
        <v>8</v>
      </c>
      <c r="B7" s="57">
        <f>required_cot</f>
        <v>4</v>
      </c>
    </row>
    <row r="8" spans="1:2" x14ac:dyDescent="0.35">
      <c r="A8" s="57" t="s">
        <v>9</v>
      </c>
      <c r="B8" s="465" t="b">
        <v>0</v>
      </c>
    </row>
    <row r="9" spans="1:2" x14ac:dyDescent="0.35">
      <c r="A9" s="57" t="s">
        <v>10</v>
      </c>
      <c r="B9" s="465" t="b">
        <v>0</v>
      </c>
    </row>
    <row r="10" spans="1:2" x14ac:dyDescent="0.35">
      <c r="A10" s="57" t="s">
        <v>11</v>
      </c>
      <c r="B10" s="465" t="b">
        <v>0</v>
      </c>
    </row>
    <row r="11" spans="1:2" x14ac:dyDescent="0.35">
      <c r="A11" s="57" t="s">
        <v>12</v>
      </c>
      <c r="B11" s="465" t="b">
        <v>1</v>
      </c>
    </row>
    <row r="12" spans="1:2" x14ac:dyDescent="0.35">
      <c r="A12" s="57" t="s">
        <v>13</v>
      </c>
      <c r="B12" s="465" t="b">
        <v>1</v>
      </c>
    </row>
    <row r="13" spans="1:2" x14ac:dyDescent="0.35">
      <c r="A13" s="57" t="s">
        <v>14</v>
      </c>
      <c r="B13" s="465" t="b">
        <v>0</v>
      </c>
    </row>
    <row r="14" spans="1:2" x14ac:dyDescent="0.35">
      <c r="A14" s="57" t="s">
        <v>15</v>
      </c>
      <c r="B14" s="465" t="b">
        <v>0</v>
      </c>
    </row>
    <row r="15" spans="1:2" x14ac:dyDescent="0.35">
      <c r="A15" s="57" t="s">
        <v>16</v>
      </c>
      <c r="B15" s="465" t="b">
        <v>0</v>
      </c>
    </row>
    <row r="16" spans="1:2" x14ac:dyDescent="0.35">
      <c r="A16" s="57" t="s">
        <v>17</v>
      </c>
      <c r="B16" s="57" t="b">
        <f>'Encoding Part 1'!$S$18</f>
        <v>1</v>
      </c>
    </row>
    <row r="17" spans="1:2" x14ac:dyDescent="0.35">
      <c r="A17" s="57" t="s">
        <v>18</v>
      </c>
      <c r="B17" s="57" t="b">
        <f>'Encoding Part 1'!$U$18</f>
        <v>1</v>
      </c>
    </row>
    <row r="18" spans="1:2" x14ac:dyDescent="0.35">
      <c r="A18" s="57" t="s">
        <v>19</v>
      </c>
      <c r="B18" s="57" t="b">
        <f>'Encoding Part 1'!$W$18</f>
        <v>1</v>
      </c>
    </row>
    <row r="19" spans="1:2" x14ac:dyDescent="0.35">
      <c r="A19" s="57" t="s">
        <v>20</v>
      </c>
      <c r="B19" s="57" t="b">
        <f>'Encoding Part 1'!$Y$18</f>
        <v>1</v>
      </c>
    </row>
    <row r="20" spans="1:2" x14ac:dyDescent="0.35">
      <c r="A20" s="57" t="s">
        <v>21</v>
      </c>
      <c r="B20" s="466"/>
    </row>
    <row r="21" spans="1:2" x14ac:dyDescent="0.35">
      <c r="A21" s="57" t="s">
        <v>22</v>
      </c>
      <c r="B21" s="466" t="s">
        <v>1992</v>
      </c>
    </row>
    <row r="22" spans="1:2" x14ac:dyDescent="0.35">
      <c r="A22" s="57" t="s">
        <v>23</v>
      </c>
      <c r="B22" s="57" t="str" cm="1">
        <f t="array" aca="1" ref="B22" ca="1">demographics[uniquepersonnelid]</f>
        <v>REG4A-01-301418-4363744</v>
      </c>
    </row>
    <row r="23" spans="1:2" x14ac:dyDescent="0.35">
      <c r="A23" s="57" t="s">
        <v>24</v>
      </c>
      <c r="B23" s="57" t="str" cm="1">
        <f t="array" ref="B23">demographics[rater_lastname]&amp;","&amp;demographics[rater_firstname] &amp; IF(demographics[rater_middlename]="","",","&amp;LEFT(demographics[rater_middlename],1)&amp;". ")</f>
        <v xml:space="preserve">MUYANA,FRANCISCO,P. </v>
      </c>
    </row>
    <row r="24" spans="1:2" x14ac:dyDescent="0.35">
      <c r="A24" s="57" t="s">
        <v>25</v>
      </c>
      <c r="B24" s="57" t="str" cm="1">
        <f t="array" ref="B24">demographics[regionid]</f>
        <v>REG4A</v>
      </c>
    </row>
    <row r="25" spans="1:2" x14ac:dyDescent="0.35">
      <c r="A25" s="57" t="s">
        <v>26</v>
      </c>
      <c r="B25" s="57" t="str" cm="1">
        <f t="array" aca="1" ref="B25" ca="1">demographics[divisionid]</f>
        <v>REG4A-01</v>
      </c>
    </row>
    <row r="26" spans="1:2" x14ac:dyDescent="0.35">
      <c r="A26" s="57" t="s">
        <v>27</v>
      </c>
      <c r="B26" s="57" t="str" cm="1">
        <f t="array" ref="B26">demographics[level_taught]</f>
        <v>Junior High School</v>
      </c>
    </row>
    <row r="27" spans="1:2" x14ac:dyDescent="0.35">
      <c r="A27" s="57" t="s">
        <v>28</v>
      </c>
      <c r="B27" s="57" cm="1">
        <f t="array" ref="B27">school_attribs[school_id]</f>
        <v>301418</v>
      </c>
    </row>
    <row r="28" spans="1:2" x14ac:dyDescent="0.35">
      <c r="A28" s="57" t="s">
        <v>29</v>
      </c>
      <c r="B28" s="57" t="str" cm="1">
        <f t="array" ref="B28">school_attribs[school_name]</f>
        <v>ANTIPOLO NATIONAL HIGH SCHOOL</v>
      </c>
    </row>
    <row r="29" spans="1:2" x14ac:dyDescent="0.35">
      <c r="A29" s="57" t="s">
        <v>30</v>
      </c>
      <c r="B29" s="465" t="s">
        <v>31</v>
      </c>
    </row>
  </sheetData>
  <sheetProtection algorithmName="SHA-512" hashValue="PsgQsSxJ4hdVJe2d7D++mX4V16Le0TCmquM8iJpl3o4yZU4STvdL7PgJhNV6fsQDAu6Y37+zwfb+oLSyWRgVow==" saltValue="+C9kYnDz882b+Et4imWT6Q==" spinCount="100000" sheet="1" objects="1" scenarios="1" formatRows="0"/>
  <pageMargins left="0.7" right="0.7" top="0.75" bottom="0.75" header="0.3" footer="0.3"/>
  <pageSetup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3552E-0ECC-4F77-968D-6C5724621EFE}">
  <sheetPr codeName="tbl_schoolAttrib_Sheet"/>
  <dimension ref="A1:M2"/>
  <sheetViews>
    <sheetView zoomScale="150" zoomScaleNormal="100" workbookViewId="0">
      <selection activeCell="D22" sqref="D22"/>
    </sheetView>
  </sheetViews>
  <sheetFormatPr defaultColWidth="8.85546875" defaultRowHeight="15" x14ac:dyDescent="0.25"/>
  <cols>
    <col min="1" max="1" width="23.42578125" customWidth="1"/>
    <col min="2" max="2" width="12.7109375" customWidth="1"/>
    <col min="3" max="3" width="12.42578125" customWidth="1"/>
    <col min="4" max="4" width="10.42578125" bestFit="1" customWidth="1"/>
    <col min="5" max="5" width="11.7109375" bestFit="1" customWidth="1"/>
    <col min="6" max="6" width="9.85546875" customWidth="1"/>
    <col min="7" max="8" width="16" bestFit="1" customWidth="1"/>
    <col min="9" max="9" width="13.85546875" bestFit="1" customWidth="1"/>
    <col min="10" max="10" width="37.28515625" bestFit="1" customWidth="1"/>
    <col min="11" max="11" width="13.140625" customWidth="1"/>
    <col min="12" max="12" width="12.28515625" customWidth="1"/>
    <col min="13" max="13" width="22.42578125" customWidth="1"/>
  </cols>
  <sheetData>
    <row r="1" spans="1:13" x14ac:dyDescent="0.25">
      <c r="A1" t="s">
        <v>23</v>
      </c>
      <c r="B1" t="s">
        <v>5</v>
      </c>
      <c r="C1" t="s">
        <v>32</v>
      </c>
      <c r="D1" t="s">
        <v>33</v>
      </c>
      <c r="E1" t="s">
        <v>28</v>
      </c>
      <c r="F1" t="s">
        <v>34</v>
      </c>
      <c r="G1" t="s">
        <v>35</v>
      </c>
      <c r="H1" t="s">
        <v>36</v>
      </c>
      <c r="I1" t="s">
        <v>37</v>
      </c>
      <c r="J1" t="s">
        <v>29</v>
      </c>
      <c r="K1" t="s">
        <v>38</v>
      </c>
      <c r="L1" t="s">
        <v>39</v>
      </c>
      <c r="M1" t="s">
        <v>40</v>
      </c>
    </row>
    <row r="2" spans="1:13" x14ac:dyDescent="0.25">
      <c r="A2" t="str">
        <f ca="1">demographics[[#This Row],[uniquepersonnelid]]</f>
        <v>REG4A-01-301418-4363744</v>
      </c>
      <c r="B2" t="str">
        <f>"SY "&amp;sy_start&amp;"-"&amp;sy_end</f>
        <v>SY 2023-2024</v>
      </c>
      <c r="C2" t="str">
        <f>IFERROR(VLOOKUP(school_attribs[[#This Row],[region_name]],regions_vlookup,2,FALSE),"")</f>
        <v>REG4A</v>
      </c>
      <c r="D2" t="str">
        <f ca="1">IFERROR(VLOOKUP(school_attribs[[#This Row],[division_name]],INDIRECT(school_attribs[[#This Row],[regionid]]&amp;"_vlookup"),2,FALSE),"")</f>
        <v>REG4A-01</v>
      </c>
      <c r="E2">
        <f>IF(ISBLANK(demographics_school_id),"",demographics_school_id)</f>
        <v>301418</v>
      </c>
      <c r="F2">
        <f>IF(ISBLANK(demographics_id),"",demographics_id)</f>
        <v>4363744</v>
      </c>
      <c r="G2" t="str">
        <f>IF(ISBLANK(demographics_region),"",demographics_region)</f>
        <v>IV-A - CALABARZON</v>
      </c>
      <c r="H2" t="str">
        <f>IF(ISBLANK(demographics_division),"",demographics_division)</f>
        <v>Antipolo City</v>
      </c>
      <c r="I2" t="str">
        <f>IF(ISBLANK(demographics_district),"",demographics_district)</f>
        <v>District I - A</v>
      </c>
      <c r="J2" t="str">
        <f>IF(ISBLANK(demographics_school_name),"",demographics_school_name)</f>
        <v>ANTIPOLO NATIONAL HIGH SCHOOL</v>
      </c>
      <c r="K2" t="str">
        <f>IF(ISBLANK(demographics_school_type),"",demographics_school_type)</f>
        <v>Urban</v>
      </c>
      <c r="L2" t="str">
        <f>IF(ISBLANK(demographics_school_size),"",demographics_school_size)</f>
        <v>Very Large</v>
      </c>
      <c r="M2" t="str">
        <f>IF(ISBLANK(demographics_classification),"",demographics_classification)</f>
        <v>Grade 7-10</v>
      </c>
    </row>
  </sheetData>
  <sheetProtection algorithmName="SHA-512" hashValue="KjsBIgdkz1G5yLhgWQGuQ7Ugx+dXL7dEizraV9msKqAVRwci9lig2n2Iq+lWjSbWvup9o6icMSybg5K3XlpgxA==" saltValue="4IbDJms5MzpB4FEaIaEHkQ==" spinCount="100000" sheet="1" objects="1" scenarios="1" selectLockedCells="1" selectUnlockedCells="1"/>
  <phoneticPr fontId="31" type="noConversion"/>
  <pageMargins left="0.7" right="0.7" top="0.75" bottom="0.75" header="0.3" footer="0.3"/>
  <pageSetup orientation="portrait" horizontalDpi="0" verticalDpi="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B71F9-06CD-414D-A5DD-CDDBC597B370}">
  <sheetPr codeName="tbl_demographic_Sheet"/>
  <dimension ref="A1:AV2"/>
  <sheetViews>
    <sheetView zoomScale="150" zoomScaleNormal="150" workbookViewId="0">
      <selection activeCell="AV2" sqref="AV2"/>
    </sheetView>
  </sheetViews>
  <sheetFormatPr defaultColWidth="8.85546875" defaultRowHeight="15" x14ac:dyDescent="0.25"/>
  <cols>
    <col min="1" max="1" width="27.85546875" customWidth="1"/>
    <col min="2" max="2" width="11.28515625" bestFit="1" customWidth="1"/>
    <col min="3" max="4" width="10.85546875" customWidth="1"/>
    <col min="5" max="5" width="11.28515625" bestFit="1" customWidth="1"/>
    <col min="6" max="9" width="16" customWidth="1"/>
    <col min="10" max="11" width="14.140625" customWidth="1"/>
    <col min="12" max="12" width="14.85546875" bestFit="1" customWidth="1"/>
    <col min="13" max="13" width="10.140625" bestFit="1" customWidth="1"/>
    <col min="14" max="14" width="14" bestFit="1" customWidth="1"/>
    <col min="15" max="15" width="14.85546875" customWidth="1"/>
    <col min="16" max="16" width="15.140625" customWidth="1"/>
    <col min="17" max="17" width="16.140625" customWidth="1"/>
    <col min="18" max="18" width="20.140625" customWidth="1"/>
    <col min="19" max="19" width="8.7109375" customWidth="1"/>
    <col min="20" max="20" width="7.85546875" customWidth="1"/>
    <col min="21" max="22" width="19.7109375" customWidth="1"/>
    <col min="23" max="23" width="16.42578125" customWidth="1"/>
    <col min="24" max="24" width="15" bestFit="1" customWidth="1"/>
    <col min="25" max="25" width="15" customWidth="1"/>
    <col min="26" max="32" width="17.140625" customWidth="1"/>
    <col min="33" max="33" width="14.85546875" bestFit="1" customWidth="1"/>
    <col min="34" max="35" width="14.85546875" customWidth="1"/>
    <col min="36" max="36" width="25.85546875" bestFit="1" customWidth="1"/>
    <col min="37" max="38" width="25.85546875" customWidth="1"/>
    <col min="39" max="39" width="20.85546875" bestFit="1" customWidth="1"/>
    <col min="40" max="41" width="20.85546875" customWidth="1"/>
    <col min="42" max="44" width="25" customWidth="1"/>
    <col min="45" max="45" width="16.42578125" bestFit="1" customWidth="1"/>
    <col min="46" max="46" width="21" bestFit="1" customWidth="1"/>
    <col min="47" max="47" width="18.85546875" customWidth="1"/>
    <col min="48" max="48" width="19.7109375" bestFit="1" customWidth="1"/>
  </cols>
  <sheetData>
    <row r="1" spans="1:48" x14ac:dyDescent="0.25">
      <c r="A1" t="s">
        <v>23</v>
      </c>
      <c r="B1" t="s">
        <v>5</v>
      </c>
      <c r="C1" t="s">
        <v>34</v>
      </c>
      <c r="D1" t="s">
        <v>32</v>
      </c>
      <c r="E1" t="s">
        <v>33</v>
      </c>
      <c r="F1" t="s">
        <v>28</v>
      </c>
      <c r="G1" t="s">
        <v>41</v>
      </c>
      <c r="H1" t="s">
        <v>42</v>
      </c>
      <c r="I1" t="s">
        <v>43</v>
      </c>
      <c r="J1" t="s">
        <v>44</v>
      </c>
      <c r="K1" t="s">
        <v>45</v>
      </c>
      <c r="L1" t="s">
        <v>7</v>
      </c>
      <c r="M1" t="s">
        <v>6</v>
      </c>
      <c r="N1" t="s">
        <v>46</v>
      </c>
      <c r="O1" t="s">
        <v>27</v>
      </c>
      <c r="P1" t="s">
        <v>47</v>
      </c>
      <c r="Q1" t="s">
        <v>48</v>
      </c>
      <c r="R1" t="s">
        <v>49</v>
      </c>
      <c r="S1" t="s">
        <v>50</v>
      </c>
      <c r="T1" t="s">
        <v>51</v>
      </c>
      <c r="U1" t="s">
        <v>52</v>
      </c>
      <c r="V1" t="s">
        <v>53</v>
      </c>
      <c r="W1" t="s">
        <v>54</v>
      </c>
      <c r="X1" t="s">
        <v>55</v>
      </c>
      <c r="Y1" t="s">
        <v>56</v>
      </c>
      <c r="Z1" t="s">
        <v>57</v>
      </c>
      <c r="AA1" t="s">
        <v>58</v>
      </c>
      <c r="AB1" t="s">
        <v>59</v>
      </c>
      <c r="AC1" t="s">
        <v>60</v>
      </c>
      <c r="AD1" t="s">
        <v>61</v>
      </c>
      <c r="AE1" t="s">
        <v>62</v>
      </c>
      <c r="AF1" t="s">
        <v>63</v>
      </c>
      <c r="AG1" t="s">
        <v>64</v>
      </c>
      <c r="AH1" t="s">
        <v>65</v>
      </c>
      <c r="AI1" t="s">
        <v>66</v>
      </c>
      <c r="AJ1" t="s">
        <v>67</v>
      </c>
      <c r="AK1" t="s">
        <v>68</v>
      </c>
      <c r="AL1" t="s">
        <v>69</v>
      </c>
      <c r="AM1" t="s">
        <v>70</v>
      </c>
      <c r="AN1" t="s">
        <v>71</v>
      </c>
      <c r="AO1" t="s">
        <v>72</v>
      </c>
      <c r="AP1" t="s">
        <v>73</v>
      </c>
      <c r="AQ1" t="s">
        <v>74</v>
      </c>
      <c r="AR1" t="s">
        <v>75</v>
      </c>
      <c r="AS1" t="s">
        <v>76</v>
      </c>
      <c r="AT1" t="s">
        <v>77</v>
      </c>
      <c r="AU1" t="s">
        <v>78</v>
      </c>
      <c r="AV1" t="s">
        <v>79</v>
      </c>
    </row>
    <row r="2" spans="1:48" x14ac:dyDescent="0.25">
      <c r="A2" t="str">
        <f ca="1">demographics[[#This Row],[divisionid]] &amp; IF(demographics[[#This Row],[school_id]]="","-ALS","-"&amp;demographics[[#This Row],[school_id]]) &amp; IF(OR(demographics[[#This Row],[teacherid]]="",demographics[[#This Row],[teacherid]]="NO EMPLOYEE NUMBER",demographics[[#This Row],[teacherid]]="NO EMPLOYEE ID",demographics[[#This Row],[teacherid]]="N/A",demographics[[#This Row],[teacherid]]="N\A",demographics[[#This Row],[teacherid]]="NA",demographics[[#This Row],[teacherid]]="NONE",demographics[[#This Row],[teacherid]]="NOT APPLICABLE"),"-TEMP"&amp;RANDBETWEEN(1000000,9999999),"-"&amp;demographics[[#This Row],[teacherid]])</f>
        <v>REG4A-01-301418-4363744</v>
      </c>
      <c r="B2" t="str">
        <f>"SY "&amp;sy_start&amp;"-"&amp;sy_end</f>
        <v>SY 2023-2024</v>
      </c>
      <c r="C2" t="str">
        <f>IF(ISBLANK(demographics_id),"",UPPER(TRIM(demographics_id)))</f>
        <v>4363744</v>
      </c>
      <c r="D2" t="str">
        <f>school_attribs[[#This Row],[regionid]]</f>
        <v>REG4A</v>
      </c>
      <c r="E2" t="str">
        <f ca="1">school_attribs[[#This Row],[divisionid]]</f>
        <v>REG4A-01</v>
      </c>
      <c r="F2">
        <f>school_attribs[[#This Row],[school_id]]</f>
        <v>301418</v>
      </c>
      <c r="G2" t="str">
        <f>IF(ISBLANK(demographics_lastname),"",demographics_lastname)</f>
        <v>GOLLA</v>
      </c>
      <c r="H2" t="str">
        <f>IF(ISBLANK(demographics_firstname),"",demographics_firstname)</f>
        <v>ROWENA</v>
      </c>
      <c r="I2" t="str">
        <f>IF(ISBLANK(demographics_middlename),"",demographics_middlename)</f>
        <v>SERRANILLO</v>
      </c>
      <c r="J2" t="str">
        <f>IF(ISBLANK(demographics_email),"",demographics_email)</f>
        <v>rowena.golla@deped.gov.ph</v>
      </c>
      <c r="K2">
        <f>IF(ISBLANK(demographic_TIN),"",demographic_TIN)</f>
        <v>229085132</v>
      </c>
      <c r="L2" t="str">
        <f>IF(ISBLANK(selected_career_stage),"P",IF(selected_career_stage="Highly Proficient","HP","P"))</f>
        <v>P</v>
      </c>
      <c r="M2" t="str">
        <f>IF(ISBLANK(selected_teacher_type),"",selected_teacher_type)</f>
        <v>Regular Teacher</v>
      </c>
      <c r="N2" t="str">
        <f>IF(ISBLANK(demographics_position),"",demographics_position)</f>
        <v>Teacher III</v>
      </c>
      <c r="O2" t="str">
        <f>IF(ISBLANK(demographics_level),"",demographics_level)</f>
        <v>Junior High School</v>
      </c>
      <c r="P2" t="str">
        <f>IF(ISBLANK(demographics_grade),"",demographics_grade)</f>
        <v>9</v>
      </c>
      <c r="Q2" t="str">
        <f>IF(ISBLANK(demographics_specialization),"",demographics_specialization)</f>
        <v>Filipino</v>
      </c>
      <c r="R2" t="str">
        <f>IF(demographics[[#This Row],[level_taught]]="Senior High School", IF(ISBLANK(demographics_strands),"",demographics_strands), IF(demographics[[#This Row],[level_taught]]="Kindergarten", "Kindergarten", IF(ISBLANK(demographics_subjects),"",demographics_subjects)))</f>
        <v>Filipino</v>
      </c>
      <c r="S2" t="str">
        <f>IF(ISBLANK(demographics_empstatus),"",demographics_empstatus)</f>
        <v>Regular Permanent</v>
      </c>
      <c r="T2" t="str">
        <f>IF(ISBLANK(demographics_age),"",demographics_age)</f>
        <v>41-45</v>
      </c>
      <c r="U2" t="str">
        <f>IF(ISBLANK(demographics_sex),"",demographics_sex)</f>
        <v>Female</v>
      </c>
      <c r="V2" t="str">
        <f>IF(ISBLANK(demographics_years),"",demographics_years)</f>
        <v>More than 10 years</v>
      </c>
      <c r="W2" t="str">
        <f>IF(ISBLANK(demographics_degree),"",demographics_degree)</f>
        <v>Master's Degree</v>
      </c>
      <c r="X2" t="str">
        <f>IF(ISBLANK(demographics_degreespecified),"",demographics_degreespecified)</f>
        <v/>
      </c>
      <c r="Y2" s="217">
        <f>final_rating</f>
        <v>4.5990000000000002</v>
      </c>
      <c r="Z2" t="str">
        <f>adjectival_rating</f>
        <v>Outstanding</v>
      </c>
      <c r="AA2">
        <f>'PART 2'!B4</f>
        <v>5</v>
      </c>
      <c r="AB2">
        <f>'PART 2'!D4</f>
        <v>4</v>
      </c>
      <c r="AC2">
        <f>'PART 2'!B10</f>
        <v>4</v>
      </c>
      <c r="AD2">
        <f>'PART 2'!D10</f>
        <v>5</v>
      </c>
      <c r="AE2">
        <f>'PART 2'!B16</f>
        <v>4</v>
      </c>
      <c r="AF2">
        <f>'PART 2'!D16</f>
        <v>5</v>
      </c>
      <c r="AG2" t="str">
        <f>IF(ISBLANK(encoding_rater_lastname),"",encoding_rater_lastname)</f>
        <v>MUYANA</v>
      </c>
      <c r="AH2" t="str">
        <f>IF(ISBLANK(encoding_rater_firstname),"",encoding_rater_firstname)</f>
        <v>FRANCISCO</v>
      </c>
      <c r="AI2" t="str">
        <f>IF(ISBLANK(encoding_rater_middlename),"",encoding_rater_middlename)</f>
        <v>PAGADAL</v>
      </c>
      <c r="AJ2" t="str">
        <f>IF(ISBLANK(encoding_rater_position),"",encoding_rater_position)</f>
        <v>Master Teacher I</v>
      </c>
      <c r="AL2" t="str">
        <f>IF(ISBLANK(encoding_rater_email),"",encoding_rater_email)</f>
        <v>francisco.muyana001@deped.gov.ph</v>
      </c>
      <c r="AM2" t="str">
        <f>IF(ISBLANK(encoding_approver_lastname),"",encoding_approver_lastname)</f>
        <v>SISON</v>
      </c>
      <c r="AN2" t="str">
        <f>IF(ISBLANK(encoding_approver_firstname),"",encoding_approver_firstname)</f>
        <v>ROWENA</v>
      </c>
      <c r="AO2" t="str">
        <f>IF(ISBLANK(encoding_approver_middlename),"",encoding_approver_middlename)</f>
        <v>B</v>
      </c>
      <c r="AP2" t="str">
        <f>IF(ISBLANK(encoding_approver_position),"",encoding_approver_position)</f>
        <v>Principal IV</v>
      </c>
      <c r="AR2" t="str">
        <f>IF(ISBLANK(encoding_approver_email),"",encoding_approver_email)</f>
        <v>rowena.sison@deped.gov.ph</v>
      </c>
      <c r="AS2" s="60" t="str">
        <f>IF(ISBLANK(encoding_review_date),"",encoding_review_date)</f>
        <v/>
      </c>
      <c r="AT2" s="266"/>
      <c r="AU2" s="266"/>
      <c r="AV2" s="361"/>
    </row>
  </sheetData>
  <sheetProtection algorithmName="SHA-512" hashValue="W4SWecmwsn+aaY6gXKSnWJygZU27n0ZwqPnEUUmT7jEXd+jokHzmouLAmtVBKB0nPKt+KvU7pqCP4MJnHs5srA==" saltValue="WLNv8ywKiGsyC+PzWxFFYA==" spinCount="100000" sheet="1" objects="1" scenarios="1" formatRows="0" selectLockedCells="1" selectUnlockedCells="1"/>
  <phoneticPr fontId="31" type="noConversion"/>
  <conditionalFormatting sqref="C2">
    <cfRule type="duplicateValues" dxfId="336" priority="12"/>
  </conditionalFormatting>
  <pageMargins left="0.7" right="0.7" top="0.75" bottom="0.75" header="0.3" footer="0.3"/>
  <pageSetup orientation="portrait" horizontalDpi="360" verticalDpi="36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9D1CD-57B6-4D15-85F5-1A6AA61674D0}">
  <sheetPr codeName="tbl_cot_Sheet"/>
  <dimension ref="A1:O42"/>
  <sheetViews>
    <sheetView zoomScale="175" zoomScaleNormal="337" workbookViewId="0">
      <selection activeCell="F2" sqref="F2"/>
    </sheetView>
  </sheetViews>
  <sheetFormatPr defaultColWidth="8.85546875" defaultRowHeight="15" x14ac:dyDescent="0.25"/>
  <cols>
    <col min="1" max="1" width="23.85546875" customWidth="1"/>
    <col min="2" max="2" width="14.140625" bestFit="1" customWidth="1"/>
    <col min="3" max="3" width="12" customWidth="1"/>
    <col min="4" max="4" width="13" customWidth="1"/>
    <col min="5" max="5" width="8" customWidth="1"/>
    <col min="6" max="6" width="10.28515625" customWidth="1"/>
    <col min="7" max="7" width="7.140625" style="50" bestFit="1" customWidth="1"/>
    <col min="8" max="8" width="7.140625" style="50" customWidth="1"/>
    <col min="9" max="9" width="7.140625" style="50" bestFit="1" customWidth="1"/>
    <col min="10" max="10" width="7.140625" style="50" customWidth="1"/>
    <col min="11" max="11" width="7.140625" style="50" bestFit="1" customWidth="1"/>
    <col min="12" max="12" width="7.140625" style="50" customWidth="1"/>
    <col min="13" max="13" width="7.140625" style="50" bestFit="1" customWidth="1"/>
    <col min="14" max="14" width="7.140625" style="50" customWidth="1"/>
    <col min="15" max="15" width="9.28515625" style="217" customWidth="1"/>
  </cols>
  <sheetData>
    <row r="1" spans="1:15" x14ac:dyDescent="0.25">
      <c r="A1" t="s">
        <v>23</v>
      </c>
      <c r="B1" t="s">
        <v>5</v>
      </c>
      <c r="C1" t="s">
        <v>7</v>
      </c>
      <c r="D1" t="s">
        <v>6</v>
      </c>
      <c r="E1" t="s">
        <v>80</v>
      </c>
      <c r="F1" t="s">
        <v>81</v>
      </c>
      <c r="G1" s="58" t="s">
        <v>82</v>
      </c>
      <c r="H1" s="58" t="s">
        <v>83</v>
      </c>
      <c r="I1" s="58" t="s">
        <v>84</v>
      </c>
      <c r="J1" s="58" t="s">
        <v>85</v>
      </c>
      <c r="K1" s="58" t="s">
        <v>86</v>
      </c>
      <c r="L1" s="58" t="s">
        <v>87</v>
      </c>
      <c r="M1" s="58" t="s">
        <v>88</v>
      </c>
      <c r="N1" s="58" t="s">
        <v>89</v>
      </c>
      <c r="O1" s="217" t="s">
        <v>90</v>
      </c>
    </row>
    <row r="2" spans="1:15" x14ac:dyDescent="0.25">
      <c r="A2" t="str" cm="1">
        <f t="array" aca="1" ref="A2" ca="1">IF(cot_data[[#This Row],[objective_index]]="","",demographics[uniquepersonnelid])</f>
        <v>REG4A-01-301418-4363744</v>
      </c>
      <c r="B2" t="str">
        <f>IF(cot_data[[#This Row],[objective_index]]="","","SY "&amp;sy_start&amp;"-"&amp;sy_end)</f>
        <v>SY 2023-2024</v>
      </c>
      <c r="C2" t="str">
        <f>IF(cot_data[[#This Row],[objective_index]]="","",career_stage)</f>
        <v>P</v>
      </c>
      <c r="D2" t="str">
        <f>IF(cot_data[[#This Row],[objective_index]]="","",teacher_type)</f>
        <v>R</v>
      </c>
      <c r="E2" cm="1">
        <f t="array" ref="E2">IFERROR(SMALL(IF((INDEX(COT_helper,,)),MATCH(ROW(COT_helper),ROW(COT_helper)),""),ROW(cot_data[[#This Row],[uniquepersonnelid]])-1),"")</f>
        <v>1</v>
      </c>
      <c r="F2" t="str" cm="1">
        <f t="array" ref="F2">IF(cot_data[[#This Row],[objective_index]]="","",INDEX(coi_ncoi_select,cot_data[[#This Row],[objective_index]],1))</f>
        <v>1.1.2</v>
      </c>
      <c r="G2" s="50" cm="1">
        <f t="array" ref="G2">IF(OR(cot_data[[#This Row],[objective_index]]="",required_cot&lt;1),"",IF(INDEX(encoding_COT1_ratings,cot_data[[#This Row],[objective_index]])="","",INDEX(encoding_COT1_ratings,cot_data[[#This Row],[objective_index]])))</f>
        <v>7</v>
      </c>
      <c r="H2" s="50" cm="1">
        <f t="array" ref="H2">IF(OR(cot_data[[#This Row],[objective_index]]="",required_cot&lt;2),"",IF(INDEX(encoding_COT2_ratings,cot_data[[#This Row],[objective_index]])="","",INDEX(encoding_COT2_ratings,cot_data[[#This Row],[objective_index]])))</f>
        <v>7</v>
      </c>
      <c r="I2" s="50" cm="1">
        <f t="array" ref="I2">IF(OR(cot_data[[#This Row],[objective_index]]="",required_cot&lt;3),"",IF(INDEX(encoding_COT3_ratings,cot_data[[#This Row],[objective_index]])="","",INDEX(encoding_COT3_ratings,cot_data[[#This Row],[objective_index]])))</f>
        <v>7</v>
      </c>
      <c r="J2" s="50" cm="1">
        <f t="array" ref="J2">IF(OR(cot_data[[#This Row],[objective_index]]="",required_cot&lt;4),"",IF(INDEX(encoding_COT4_ratings,cot_data[[#This Row],[objective_index]])="","",INDEX(encoding_COT4_ratings,cot_data[[#This Row],[objective_index]])))</f>
        <v>7</v>
      </c>
      <c r="K2" s="50" cm="1">
        <f t="array" ref="K2">IF(cot_data[[#This Row],[objective_index]]="","",INDEX(encoding_cot1_scale,cot_data[[#This Row],[objective_index]]))</f>
        <v>5</v>
      </c>
      <c r="L2" s="50" cm="1">
        <f t="array" ref="L2">IF(cot_data[[#This Row],[objective_index]]="","",INDEX(encoding_cot2_scale,cot_data[[#This Row],[objective_index]]))</f>
        <v>5</v>
      </c>
      <c r="M2" s="50" cm="1">
        <f t="array" ref="M2">IF(cot_data[[#This Row],[objective_index]]="","",INDEX(encoding_cot3_scale,cot_data[[#This Row],[objective_index]]))</f>
        <v>5</v>
      </c>
      <c r="N2" s="50" cm="1">
        <f t="array" ref="N2">IF(cot_data[[#This Row],[objective_index]]="","",INDEX(encoding_cot4_scale,cot_data[[#This Row],[objective_index]]))</f>
        <v>5</v>
      </c>
      <c r="O2" s="217" cm="1">
        <f t="array" ref="O2">IF(cot_data[[#This Row],[objective_index]]="","",INDEX(encoding_cot_ave,cot_data[[#This Row],[objective_index]]))</f>
        <v>5</v>
      </c>
    </row>
    <row r="3" spans="1:15" x14ac:dyDescent="0.25">
      <c r="A3" t="str" cm="1">
        <f t="array" aca="1" ref="A3" ca="1">IF(cot_data[[#This Row],[objective_index]]="","",demographics[uniquepersonnelid])</f>
        <v>REG4A-01-301418-4363744</v>
      </c>
      <c r="B3" t="str">
        <f>IF(cot_data[[#This Row],[objective_index]]="","","SY "&amp;sy_start&amp;"-"&amp;sy_end)</f>
        <v>SY 2023-2024</v>
      </c>
      <c r="C3" t="str">
        <f>IF(cot_data[[#This Row],[objective_index]]="","",career_stage)</f>
        <v>P</v>
      </c>
      <c r="D3" t="str">
        <f>IF(cot_data[[#This Row],[objective_index]]="","",teacher_type)</f>
        <v>R</v>
      </c>
      <c r="E3" cm="1">
        <f t="array" ref="E3">IFERROR(SMALL(IF((INDEX(COT_helper,,)),MATCH(ROW(COT_helper),ROW(COT_helper)),""),ROW(cot_data[[#This Row],[uniquepersonnelid]])-1),"")</f>
        <v>4</v>
      </c>
      <c r="F3" t="str" cm="1">
        <f t="array" ref="F3">IF(cot_data[[#This Row],[objective_index]]="","",INDEX(coi_ncoi_select,cot_data[[#This Row],[objective_index]],1))</f>
        <v>1.4.2</v>
      </c>
      <c r="G3" s="50" cm="1">
        <f t="array" ref="G3">IF(OR(cot_data[[#This Row],[objective_index]]="",required_cot&lt;1),"",IF(INDEX(encoding_COT1_ratings,cot_data[[#This Row],[objective_index]])="","",INDEX(encoding_COT1_ratings,cot_data[[#This Row],[objective_index]])))</f>
        <v>7</v>
      </c>
      <c r="H3" s="50" cm="1">
        <f t="array" ref="H3">IF(OR(cot_data[[#This Row],[objective_index]]="",required_cot&lt;2),"",IF(INDEX(encoding_COT2_ratings,cot_data[[#This Row],[objective_index]])="","",INDEX(encoding_COT2_ratings,cot_data[[#This Row],[objective_index]])))</f>
        <v>7</v>
      </c>
      <c r="I3" s="50" cm="1">
        <f t="array" ref="I3">IF(OR(cot_data[[#This Row],[objective_index]]="",required_cot&lt;3),"",IF(INDEX(encoding_COT3_ratings,cot_data[[#This Row],[objective_index]])="","",INDEX(encoding_COT3_ratings,cot_data[[#This Row],[objective_index]])))</f>
        <v>7</v>
      </c>
      <c r="J3" s="50" cm="1">
        <f t="array" ref="J3">IF(OR(cot_data[[#This Row],[objective_index]]="",required_cot&lt;4),"",IF(INDEX(encoding_COT4_ratings,cot_data[[#This Row],[objective_index]])="","",INDEX(encoding_COT4_ratings,cot_data[[#This Row],[objective_index]])))</f>
        <v>7</v>
      </c>
      <c r="K3" s="50" cm="1">
        <f t="array" ref="K3">IF(cot_data[[#This Row],[objective_index]]="","",INDEX(encoding_cot1_scale,cot_data[[#This Row],[objective_index]]))</f>
        <v>5</v>
      </c>
      <c r="L3" s="50" cm="1">
        <f t="array" ref="L3">IF(cot_data[[#This Row],[objective_index]]="","",INDEX(encoding_cot2_scale,cot_data[[#This Row],[objective_index]]))</f>
        <v>5</v>
      </c>
      <c r="M3" s="50" cm="1">
        <f t="array" ref="M3">IF(cot_data[[#This Row],[objective_index]]="","",INDEX(encoding_cot3_scale,cot_data[[#This Row],[objective_index]]))</f>
        <v>5</v>
      </c>
      <c r="N3" s="50" cm="1">
        <f t="array" ref="N3">IF(cot_data[[#This Row],[objective_index]]="","",INDEX(encoding_cot4_scale,cot_data[[#This Row],[objective_index]]))</f>
        <v>5</v>
      </c>
      <c r="O3" s="217" cm="1">
        <f t="array" ref="O3">IF(cot_data[[#This Row],[objective_index]]="","",INDEX(encoding_cot_ave,cot_data[[#This Row],[objective_index]]))</f>
        <v>5</v>
      </c>
    </row>
    <row r="4" spans="1:15" x14ac:dyDescent="0.25">
      <c r="A4" t="str" cm="1">
        <f t="array" aca="1" ref="A4" ca="1">IF(cot_data[[#This Row],[objective_index]]="","",demographics[uniquepersonnelid])</f>
        <v>REG4A-01-301418-4363744</v>
      </c>
      <c r="B4" t="str">
        <f>IF(cot_data[[#This Row],[objective_index]]="","","SY "&amp;sy_start&amp;"-"&amp;sy_end)</f>
        <v>SY 2023-2024</v>
      </c>
      <c r="C4" t="str">
        <f>IF(cot_data[[#This Row],[objective_index]]="","",career_stage)</f>
        <v>P</v>
      </c>
      <c r="D4" t="str">
        <f>IF(cot_data[[#This Row],[objective_index]]="","",teacher_type)</f>
        <v>R</v>
      </c>
      <c r="E4" cm="1">
        <f t="array" ref="E4">IFERROR(SMALL(IF((INDEX(COT_helper,,)),MATCH(ROW(COT_helper),ROW(COT_helper)),""),ROW(cot_data[[#This Row],[uniquepersonnelid]])-1),"")</f>
        <v>5</v>
      </c>
      <c r="F4" t="str" cm="1">
        <f t="array" ref="F4">IF(cot_data[[#This Row],[objective_index]]="","",INDEX(coi_ncoi_select,cot_data[[#This Row],[objective_index]],1))</f>
        <v>1.5.2</v>
      </c>
      <c r="G4" s="50" cm="1">
        <f t="array" ref="G4">IF(OR(cot_data[[#This Row],[objective_index]]="",required_cot&lt;1),"",IF(INDEX(encoding_COT1_ratings,cot_data[[#This Row],[objective_index]])="","",INDEX(encoding_COT1_ratings,cot_data[[#This Row],[objective_index]])))</f>
        <v>6</v>
      </c>
      <c r="H4" s="50" cm="1">
        <f t="array" ref="H4">IF(OR(cot_data[[#This Row],[objective_index]]="",required_cot&lt;2),"",IF(INDEX(encoding_COT2_ratings,cot_data[[#This Row],[objective_index]])="","",INDEX(encoding_COT2_ratings,cot_data[[#This Row],[objective_index]])))</f>
        <v>6</v>
      </c>
      <c r="I4" s="50" cm="1">
        <f t="array" ref="I4">IF(OR(cot_data[[#This Row],[objective_index]]="",required_cot&lt;3),"",IF(INDEX(encoding_COT3_ratings,cot_data[[#This Row],[objective_index]])="","",INDEX(encoding_COT3_ratings,cot_data[[#This Row],[objective_index]])))</f>
        <v>6</v>
      </c>
      <c r="J4" s="50" cm="1">
        <f t="array" ref="J4">IF(OR(cot_data[[#This Row],[objective_index]]="",required_cot&lt;4),"",IF(INDEX(encoding_COT4_ratings,cot_data[[#This Row],[objective_index]])="","",INDEX(encoding_COT4_ratings,cot_data[[#This Row],[objective_index]])))</f>
        <v>6</v>
      </c>
      <c r="K4" s="50" cm="1">
        <f t="array" ref="K4">IF(cot_data[[#This Row],[objective_index]]="","",INDEX(encoding_cot1_scale,cot_data[[#This Row],[objective_index]]))</f>
        <v>4</v>
      </c>
      <c r="L4" s="50" cm="1">
        <f t="array" ref="L4">IF(cot_data[[#This Row],[objective_index]]="","",INDEX(encoding_cot2_scale,cot_data[[#This Row],[objective_index]]))</f>
        <v>4</v>
      </c>
      <c r="M4" s="50" cm="1">
        <f t="array" ref="M4">IF(cot_data[[#This Row],[objective_index]]="","",INDEX(encoding_cot3_scale,cot_data[[#This Row],[objective_index]]))</f>
        <v>4</v>
      </c>
      <c r="N4" s="50" cm="1">
        <f t="array" ref="N4">IF(cot_data[[#This Row],[objective_index]]="","",INDEX(encoding_cot4_scale,cot_data[[#This Row],[objective_index]]))</f>
        <v>4</v>
      </c>
      <c r="O4" s="217" cm="1">
        <f t="array" ref="O4">IF(cot_data[[#This Row],[objective_index]]="","",INDEX(encoding_cot_ave,cot_data[[#This Row],[objective_index]]))</f>
        <v>4</v>
      </c>
    </row>
    <row r="5" spans="1:15" x14ac:dyDescent="0.25">
      <c r="A5" t="str" cm="1">
        <f t="array" aca="1" ref="A5" ca="1">IF(cot_data[[#This Row],[objective_index]]="","",demographics[uniquepersonnelid])</f>
        <v>REG4A-01-301418-4363744</v>
      </c>
      <c r="B5" t="str">
        <f>IF(cot_data[[#This Row],[objective_index]]="","","SY "&amp;sy_start&amp;"-"&amp;sy_end)</f>
        <v>SY 2023-2024</v>
      </c>
      <c r="C5" t="str">
        <f>IF(cot_data[[#This Row],[objective_index]]="","",career_stage)</f>
        <v>P</v>
      </c>
      <c r="D5" t="str">
        <f>IF(cot_data[[#This Row],[objective_index]]="","",teacher_type)</f>
        <v>R</v>
      </c>
      <c r="E5" cm="1">
        <f t="array" ref="E5">IFERROR(SMALL(IF((INDEX(COT_helper,,)),MATCH(ROW(COT_helper),ROW(COT_helper)),""),ROW(cot_data[[#This Row],[uniquepersonnelid]])-1),"")</f>
        <v>6</v>
      </c>
      <c r="F5" t="str" cm="1">
        <f t="array" ref="F5">IF(cot_data[[#This Row],[objective_index]]="","",INDEX(coi_ncoi_select,cot_data[[#This Row],[objective_index]],1))</f>
        <v>1.6.2</v>
      </c>
      <c r="G5" s="50" cm="1">
        <f t="array" ref="G5">IF(OR(cot_data[[#This Row],[objective_index]]="",required_cot&lt;1),"",IF(INDEX(encoding_COT1_ratings,cot_data[[#This Row],[objective_index]])="","",INDEX(encoding_COT1_ratings,cot_data[[#This Row],[objective_index]])))</f>
        <v>7</v>
      </c>
      <c r="H5" s="50" t="str" cm="1">
        <f t="array" ref="H5">IF(OR(cot_data[[#This Row],[objective_index]]="",required_cot&lt;2),"",IF(INDEX(encoding_COT2_ratings,cot_data[[#This Row],[objective_index]])="","",INDEX(encoding_COT2_ratings,cot_data[[#This Row],[objective_index]])))</f>
        <v/>
      </c>
      <c r="I5" s="50" cm="1">
        <f t="array" ref="I5">IF(OR(cot_data[[#This Row],[objective_index]]="",required_cot&lt;3),"",IF(INDEX(encoding_COT3_ratings,cot_data[[#This Row],[objective_index]])="","",INDEX(encoding_COT3_ratings,cot_data[[#This Row],[objective_index]])))</f>
        <v>7</v>
      </c>
      <c r="J5" s="50" t="str" cm="1">
        <f t="array" ref="J5">IF(OR(cot_data[[#This Row],[objective_index]]="",required_cot&lt;4),"",IF(INDEX(encoding_COT4_ratings,cot_data[[#This Row],[objective_index]])="","",INDEX(encoding_COT4_ratings,cot_data[[#This Row],[objective_index]])))</f>
        <v/>
      </c>
      <c r="K5" s="50" cm="1">
        <f t="array" ref="K5">IF(cot_data[[#This Row],[objective_index]]="","",INDEX(encoding_cot1_scale,cot_data[[#This Row],[objective_index]]))</f>
        <v>5</v>
      </c>
      <c r="L5" s="50" t="str" cm="1">
        <f t="array" ref="L5">IF(cot_data[[#This Row],[objective_index]]="","",INDEX(encoding_cot2_scale,cot_data[[#This Row],[objective_index]]))</f>
        <v/>
      </c>
      <c r="M5" s="50" cm="1">
        <f t="array" ref="M5">IF(cot_data[[#This Row],[objective_index]]="","",INDEX(encoding_cot3_scale,cot_data[[#This Row],[objective_index]]))</f>
        <v>5</v>
      </c>
      <c r="N5" s="50" t="str" cm="1">
        <f t="array" ref="N5">IF(cot_data[[#This Row],[objective_index]]="","",INDEX(encoding_cot4_scale,cot_data[[#This Row],[objective_index]]))</f>
        <v/>
      </c>
      <c r="O5" s="217" cm="1">
        <f t="array" ref="O5">IF(cot_data[[#This Row],[objective_index]]="","",INDEX(encoding_cot_ave,cot_data[[#This Row],[objective_index]]))</f>
        <v>5</v>
      </c>
    </row>
    <row r="6" spans="1:15" x14ac:dyDescent="0.25">
      <c r="A6" t="str" cm="1">
        <f t="array" aca="1" ref="A6" ca="1">IF(cot_data[[#This Row],[objective_index]]="","",demographics[uniquepersonnelid])</f>
        <v>REG4A-01-301418-4363744</v>
      </c>
      <c r="B6" t="str">
        <f>IF(cot_data[[#This Row],[objective_index]]="","","SY "&amp;sy_start&amp;"-"&amp;sy_end)</f>
        <v>SY 2023-2024</v>
      </c>
      <c r="C6" t="str">
        <f>IF(cot_data[[#This Row],[objective_index]]="","",career_stage)</f>
        <v>P</v>
      </c>
      <c r="D6" t="str">
        <f>IF(cot_data[[#This Row],[objective_index]]="","",teacher_type)</f>
        <v>R</v>
      </c>
      <c r="E6" cm="1">
        <f t="array" ref="E6">IFERROR(SMALL(IF((INDEX(COT_helper,,)),MATCH(ROW(COT_helper),ROW(COT_helper)),""),ROW(cot_data[[#This Row],[uniquepersonnelid]])-1),"")</f>
        <v>8</v>
      </c>
      <c r="F6" t="str" cm="1">
        <f t="array" ref="F6">IF(cot_data[[#This Row],[objective_index]]="","",INDEX(coi_ncoi_select,cot_data[[#This Row],[objective_index]],1))</f>
        <v>2.1.2</v>
      </c>
      <c r="G6" s="50" cm="1">
        <f t="array" ref="G6">IF(OR(cot_data[[#This Row],[objective_index]]="",required_cot&lt;1),"",IF(INDEX(encoding_COT1_ratings,cot_data[[#This Row],[objective_index]])="","",INDEX(encoding_COT1_ratings,cot_data[[#This Row],[objective_index]])))</f>
        <v>7</v>
      </c>
      <c r="H6" s="50" t="str" cm="1">
        <f t="array" ref="H6">IF(OR(cot_data[[#This Row],[objective_index]]="",required_cot&lt;2),"",IF(INDEX(encoding_COT2_ratings,cot_data[[#This Row],[objective_index]])="","",INDEX(encoding_COT2_ratings,cot_data[[#This Row],[objective_index]])))</f>
        <v/>
      </c>
      <c r="I6" s="50" cm="1">
        <f t="array" ref="I6">IF(OR(cot_data[[#This Row],[objective_index]]="",required_cot&lt;3),"",IF(INDEX(encoding_COT3_ratings,cot_data[[#This Row],[objective_index]])="","",INDEX(encoding_COT3_ratings,cot_data[[#This Row],[objective_index]])))</f>
        <v>7</v>
      </c>
      <c r="J6" s="50" t="str" cm="1">
        <f t="array" ref="J6">IF(OR(cot_data[[#This Row],[objective_index]]="",required_cot&lt;4),"",IF(INDEX(encoding_COT4_ratings,cot_data[[#This Row],[objective_index]])="","",INDEX(encoding_COT4_ratings,cot_data[[#This Row],[objective_index]])))</f>
        <v/>
      </c>
      <c r="K6" s="50" cm="1">
        <f t="array" ref="K6">IF(cot_data[[#This Row],[objective_index]]="","",INDEX(encoding_cot1_scale,cot_data[[#This Row],[objective_index]]))</f>
        <v>5</v>
      </c>
      <c r="L6" s="50" t="str" cm="1">
        <f t="array" ref="L6">IF(cot_data[[#This Row],[objective_index]]="","",INDEX(encoding_cot2_scale,cot_data[[#This Row],[objective_index]]))</f>
        <v/>
      </c>
      <c r="M6" s="50" cm="1">
        <f t="array" ref="M6">IF(cot_data[[#This Row],[objective_index]]="","",INDEX(encoding_cot3_scale,cot_data[[#This Row],[objective_index]]))</f>
        <v>5</v>
      </c>
      <c r="N6" s="50" t="str" cm="1">
        <f t="array" ref="N6">IF(cot_data[[#This Row],[objective_index]]="","",INDEX(encoding_cot4_scale,cot_data[[#This Row],[objective_index]]))</f>
        <v/>
      </c>
      <c r="O6" s="217" cm="1">
        <f t="array" ref="O6">IF(cot_data[[#This Row],[objective_index]]="","",INDEX(encoding_cot_ave,cot_data[[#This Row],[objective_index]]))</f>
        <v>5</v>
      </c>
    </row>
    <row r="7" spans="1:15" x14ac:dyDescent="0.25">
      <c r="A7" t="str" cm="1">
        <f t="array" aca="1" ref="A7" ca="1">IF(cot_data[[#This Row],[objective_index]]="","",demographics[uniquepersonnelid])</f>
        <v>REG4A-01-301418-4363744</v>
      </c>
      <c r="B7" t="str">
        <f>IF(cot_data[[#This Row],[objective_index]]="","","SY "&amp;sy_start&amp;"-"&amp;sy_end)</f>
        <v>SY 2023-2024</v>
      </c>
      <c r="C7" t="str">
        <f>IF(cot_data[[#This Row],[objective_index]]="","",career_stage)</f>
        <v>P</v>
      </c>
      <c r="D7" t="str">
        <f>IF(cot_data[[#This Row],[objective_index]]="","",teacher_type)</f>
        <v>R</v>
      </c>
      <c r="E7" cm="1">
        <f t="array" ref="E7">IFERROR(SMALL(IF((INDEX(COT_helper,,)),MATCH(ROW(COT_helper),ROW(COT_helper)),""),ROW(cot_data[[#This Row],[uniquepersonnelid]])-1),"")</f>
        <v>9</v>
      </c>
      <c r="F7" t="str" cm="1">
        <f t="array" ref="F7">IF(cot_data[[#This Row],[objective_index]]="","",INDEX(coi_ncoi_select,cot_data[[#This Row],[objective_index]],1))</f>
        <v>2.2.2</v>
      </c>
      <c r="G7" s="50" cm="1">
        <f t="array" ref="G7">IF(OR(cot_data[[#This Row],[objective_index]]="",required_cot&lt;1),"",IF(INDEX(encoding_COT1_ratings,cot_data[[#This Row],[objective_index]])="","",INDEX(encoding_COT1_ratings,cot_data[[#This Row],[objective_index]])))</f>
        <v>7</v>
      </c>
      <c r="H7" s="50" t="str" cm="1">
        <f t="array" ref="H7">IF(OR(cot_data[[#This Row],[objective_index]]="",required_cot&lt;2),"",IF(INDEX(encoding_COT2_ratings,cot_data[[#This Row],[objective_index]])="","",INDEX(encoding_COT2_ratings,cot_data[[#This Row],[objective_index]])))</f>
        <v/>
      </c>
      <c r="I7" s="50" cm="1">
        <f t="array" ref="I7">IF(OR(cot_data[[#This Row],[objective_index]]="",required_cot&lt;3),"",IF(INDEX(encoding_COT3_ratings,cot_data[[#This Row],[objective_index]])="","",INDEX(encoding_COT3_ratings,cot_data[[#This Row],[objective_index]])))</f>
        <v>7</v>
      </c>
      <c r="J7" s="50" t="str" cm="1">
        <f t="array" ref="J7">IF(OR(cot_data[[#This Row],[objective_index]]="",required_cot&lt;4),"",IF(INDEX(encoding_COT4_ratings,cot_data[[#This Row],[objective_index]])="","",INDEX(encoding_COT4_ratings,cot_data[[#This Row],[objective_index]])))</f>
        <v/>
      </c>
      <c r="K7" s="50" cm="1">
        <f t="array" ref="K7">IF(cot_data[[#This Row],[objective_index]]="","",INDEX(encoding_cot1_scale,cot_data[[#This Row],[objective_index]]))</f>
        <v>5</v>
      </c>
      <c r="L7" s="50" t="str" cm="1">
        <f t="array" ref="L7">IF(cot_data[[#This Row],[objective_index]]="","",INDEX(encoding_cot2_scale,cot_data[[#This Row],[objective_index]]))</f>
        <v/>
      </c>
      <c r="M7" s="50" cm="1">
        <f t="array" ref="M7">IF(cot_data[[#This Row],[objective_index]]="","",INDEX(encoding_cot3_scale,cot_data[[#This Row],[objective_index]]))</f>
        <v>5</v>
      </c>
      <c r="N7" s="50" t="str" cm="1">
        <f t="array" ref="N7">IF(cot_data[[#This Row],[objective_index]]="","",INDEX(encoding_cot4_scale,cot_data[[#This Row],[objective_index]]))</f>
        <v/>
      </c>
      <c r="O7" s="217" cm="1">
        <f t="array" ref="O7">IF(cot_data[[#This Row],[objective_index]]="","",INDEX(encoding_cot_ave,cot_data[[#This Row],[objective_index]]))</f>
        <v>5</v>
      </c>
    </row>
    <row r="8" spans="1:15" x14ac:dyDescent="0.25">
      <c r="A8" t="str" cm="1">
        <f t="array" aca="1" ref="A8" ca="1">IF(cot_data[[#This Row],[objective_index]]="","",demographics[uniquepersonnelid])</f>
        <v>REG4A-01-301418-4363744</v>
      </c>
      <c r="B8" t="str">
        <f>IF(cot_data[[#This Row],[objective_index]]="","","SY "&amp;sy_start&amp;"-"&amp;sy_end)</f>
        <v>SY 2023-2024</v>
      </c>
      <c r="C8" t="str">
        <f>IF(cot_data[[#This Row],[objective_index]]="","",career_stage)</f>
        <v>P</v>
      </c>
      <c r="D8" t="str">
        <f>IF(cot_data[[#This Row],[objective_index]]="","",teacher_type)</f>
        <v>R</v>
      </c>
      <c r="E8" cm="1">
        <f t="array" ref="E8">IFERROR(SMALL(IF((INDEX(COT_helper,,)),MATCH(ROW(COT_helper),ROW(COT_helper)),""),ROW(cot_data[[#This Row],[uniquepersonnelid]])-1),"")</f>
        <v>15</v>
      </c>
      <c r="F8" t="str" cm="1">
        <f t="array" ref="F8">IF(cot_data[[#This Row],[objective_index]]="","",INDEX(coi_ncoi_select,cot_data[[#This Row],[objective_index]],1))</f>
        <v>3.2.2</v>
      </c>
      <c r="G8" s="50" t="str" cm="1">
        <f t="array" ref="G8">IF(OR(cot_data[[#This Row],[objective_index]]="",required_cot&lt;1),"",IF(INDEX(encoding_COT1_ratings,cot_data[[#This Row],[objective_index]])="","",INDEX(encoding_COT1_ratings,cot_data[[#This Row],[objective_index]])))</f>
        <v/>
      </c>
      <c r="H8" s="50" cm="1">
        <f t="array" ref="H8">IF(OR(cot_data[[#This Row],[objective_index]]="",required_cot&lt;2),"",IF(INDEX(encoding_COT2_ratings,cot_data[[#This Row],[objective_index]])="","",INDEX(encoding_COT2_ratings,cot_data[[#This Row],[objective_index]])))</f>
        <v>7</v>
      </c>
      <c r="I8" s="50" t="str" cm="1">
        <f t="array" ref="I8">IF(OR(cot_data[[#This Row],[objective_index]]="",required_cot&lt;3),"",IF(INDEX(encoding_COT3_ratings,cot_data[[#This Row],[objective_index]])="","",INDEX(encoding_COT3_ratings,cot_data[[#This Row],[objective_index]])))</f>
        <v/>
      </c>
      <c r="J8" s="50" cm="1">
        <f t="array" ref="J8">IF(OR(cot_data[[#This Row],[objective_index]]="",required_cot&lt;4),"",IF(INDEX(encoding_COT4_ratings,cot_data[[#This Row],[objective_index]])="","",INDEX(encoding_COT4_ratings,cot_data[[#This Row],[objective_index]])))</f>
        <v>7</v>
      </c>
      <c r="K8" s="50" t="str" cm="1">
        <f t="array" ref="K8">IF(cot_data[[#This Row],[objective_index]]="","",INDEX(encoding_cot1_scale,cot_data[[#This Row],[objective_index]]))</f>
        <v/>
      </c>
      <c r="L8" s="50" cm="1">
        <f t="array" ref="L8">IF(cot_data[[#This Row],[objective_index]]="","",INDEX(encoding_cot2_scale,cot_data[[#This Row],[objective_index]]))</f>
        <v>5</v>
      </c>
      <c r="M8" s="50" t="str" cm="1">
        <f t="array" ref="M8">IF(cot_data[[#This Row],[objective_index]]="","",INDEX(encoding_cot3_scale,cot_data[[#This Row],[objective_index]]))</f>
        <v/>
      </c>
      <c r="N8" s="50" cm="1">
        <f t="array" ref="N8">IF(cot_data[[#This Row],[objective_index]]="","",INDEX(encoding_cot4_scale,cot_data[[#This Row],[objective_index]]))</f>
        <v>5</v>
      </c>
      <c r="O8" s="217" cm="1">
        <f t="array" ref="O8">IF(cot_data[[#This Row],[objective_index]]="","",INDEX(encoding_cot_ave,cot_data[[#This Row],[objective_index]]))</f>
        <v>5</v>
      </c>
    </row>
    <row r="9" spans="1:15" x14ac:dyDescent="0.25">
      <c r="A9" t="str" cm="1">
        <f t="array" aca="1" ref="A9" ca="1">IF(cot_data[[#This Row],[objective_index]]="","",demographics[uniquepersonnelid])</f>
        <v>REG4A-01-301418-4363744</v>
      </c>
      <c r="B9" t="str">
        <f>IF(cot_data[[#This Row],[objective_index]]="","","SY "&amp;sy_start&amp;"-"&amp;sy_end)</f>
        <v>SY 2023-2024</v>
      </c>
      <c r="C9" t="str">
        <f>IF(cot_data[[#This Row],[objective_index]]="","",career_stage)</f>
        <v>P</v>
      </c>
      <c r="D9" t="str">
        <f>IF(cot_data[[#This Row],[objective_index]]="","",teacher_type)</f>
        <v>R</v>
      </c>
      <c r="E9" cm="1">
        <f t="array" ref="E9">IFERROR(SMALL(IF((INDEX(COT_helper,,)),MATCH(ROW(COT_helper),ROW(COT_helper)),""),ROW(cot_data[[#This Row],[uniquepersonnelid]])-1),"")</f>
        <v>18</v>
      </c>
      <c r="F9" t="str" cm="1">
        <f t="array" ref="F9">IF(cot_data[[#This Row],[objective_index]]="","",INDEX(coi_ncoi_select,cot_data[[#This Row],[objective_index]],1))</f>
        <v>3.5.2</v>
      </c>
      <c r="G9" s="50" t="str" cm="1">
        <f t="array" ref="G9">IF(OR(cot_data[[#This Row],[objective_index]]="",required_cot&lt;1),"",IF(INDEX(encoding_COT1_ratings,cot_data[[#This Row],[objective_index]])="","",INDEX(encoding_COT1_ratings,cot_data[[#This Row],[objective_index]])))</f>
        <v/>
      </c>
      <c r="H9" s="50" cm="1">
        <f t="array" ref="H9">IF(OR(cot_data[[#This Row],[objective_index]]="",required_cot&lt;2),"",IF(INDEX(encoding_COT2_ratings,cot_data[[#This Row],[objective_index]])="","",INDEX(encoding_COT2_ratings,cot_data[[#This Row],[objective_index]])))</f>
        <v>7</v>
      </c>
      <c r="I9" s="50" t="str" cm="1">
        <f t="array" ref="I9">IF(OR(cot_data[[#This Row],[objective_index]]="",required_cot&lt;3),"",IF(INDEX(encoding_COT3_ratings,cot_data[[#This Row],[objective_index]])="","",INDEX(encoding_COT3_ratings,cot_data[[#This Row],[objective_index]])))</f>
        <v/>
      </c>
      <c r="J9" s="50" cm="1">
        <f t="array" ref="J9">IF(OR(cot_data[[#This Row],[objective_index]]="",required_cot&lt;4),"",IF(INDEX(encoding_COT4_ratings,cot_data[[#This Row],[objective_index]])="","",INDEX(encoding_COT4_ratings,cot_data[[#This Row],[objective_index]])))</f>
        <v>7</v>
      </c>
      <c r="K9" s="50" t="str" cm="1">
        <f t="array" ref="K9">IF(cot_data[[#This Row],[objective_index]]="","",INDEX(encoding_cot1_scale,cot_data[[#This Row],[objective_index]]))</f>
        <v/>
      </c>
      <c r="L9" s="50" cm="1">
        <f t="array" ref="L9">IF(cot_data[[#This Row],[objective_index]]="","",INDEX(encoding_cot2_scale,cot_data[[#This Row],[objective_index]]))</f>
        <v>5</v>
      </c>
      <c r="M9" s="50" t="str" cm="1">
        <f t="array" ref="M9">IF(cot_data[[#This Row],[objective_index]]="","",INDEX(encoding_cot3_scale,cot_data[[#This Row],[objective_index]]))</f>
        <v/>
      </c>
      <c r="N9" s="50" cm="1">
        <f t="array" ref="N9">IF(cot_data[[#This Row],[objective_index]]="","",INDEX(encoding_cot4_scale,cot_data[[#This Row],[objective_index]]))</f>
        <v>5</v>
      </c>
      <c r="O9" s="217" cm="1">
        <f t="array" ref="O9">IF(cot_data[[#This Row],[objective_index]]="","",INDEX(encoding_cot_ave,cot_data[[#This Row],[objective_index]]))</f>
        <v>5</v>
      </c>
    </row>
    <row r="10" spans="1:15" x14ac:dyDescent="0.25">
      <c r="A10" t="str" cm="1">
        <f t="array" aca="1" ref="A10" ca="1">IF(cot_data[[#This Row],[objective_index]]="","",demographics[uniquepersonnelid])</f>
        <v>REG4A-01-301418-4363744</v>
      </c>
      <c r="B10" t="str">
        <f>IF(cot_data[[#This Row],[objective_index]]="","","SY "&amp;sy_start&amp;"-"&amp;sy_end)</f>
        <v>SY 2023-2024</v>
      </c>
      <c r="C10" t="str">
        <f>IF(cot_data[[#This Row],[objective_index]]="","",career_stage)</f>
        <v>P</v>
      </c>
      <c r="D10" t="str">
        <f>IF(cot_data[[#This Row],[objective_index]]="","",teacher_type)</f>
        <v>R</v>
      </c>
      <c r="E10" cm="1">
        <f t="array" ref="E10">IFERROR(SMALL(IF((INDEX(COT_helper,,)),MATCH(ROW(COT_helper),ROW(COT_helper)),""),ROW(cot_data[[#This Row],[uniquepersonnelid]])-1),"")</f>
        <v>26</v>
      </c>
      <c r="F10" t="str" cm="1">
        <f t="array" ref="F10">IF(cot_data[[#This Row],[objective_index]]="","",INDEX(coi_ncoi_select,cot_data[[#This Row],[objective_index]],1))</f>
        <v>5.3.2</v>
      </c>
      <c r="G10" s="50" t="str" cm="1">
        <f t="array" ref="G10">IF(OR(cot_data[[#This Row],[objective_index]]="",required_cot&lt;1),"",IF(INDEX(encoding_COT1_ratings,cot_data[[#This Row],[objective_index]])="","",INDEX(encoding_COT1_ratings,cot_data[[#This Row],[objective_index]])))</f>
        <v/>
      </c>
      <c r="H10" s="50" cm="1">
        <f t="array" ref="H10">IF(OR(cot_data[[#This Row],[objective_index]]="",required_cot&lt;2),"",IF(INDEX(encoding_COT2_ratings,cot_data[[#This Row],[objective_index]])="","",INDEX(encoding_COT2_ratings,cot_data[[#This Row],[objective_index]])))</f>
        <v>7</v>
      </c>
      <c r="I10" s="50" t="str" cm="1">
        <f t="array" ref="I10">IF(OR(cot_data[[#This Row],[objective_index]]="",required_cot&lt;3),"",IF(INDEX(encoding_COT3_ratings,cot_data[[#This Row],[objective_index]])="","",INDEX(encoding_COT3_ratings,cot_data[[#This Row],[objective_index]])))</f>
        <v/>
      </c>
      <c r="J10" s="50" cm="1">
        <f t="array" ref="J10">IF(OR(cot_data[[#This Row],[objective_index]]="",required_cot&lt;4),"",IF(INDEX(encoding_COT4_ratings,cot_data[[#This Row],[objective_index]])="","",INDEX(encoding_COT4_ratings,cot_data[[#This Row],[objective_index]])))</f>
        <v>7</v>
      </c>
      <c r="K10" s="50" t="str" cm="1">
        <f t="array" ref="K10">IF(cot_data[[#This Row],[objective_index]]="","",INDEX(encoding_cot1_scale,cot_data[[#This Row],[objective_index]]))</f>
        <v/>
      </c>
      <c r="L10" s="50" cm="1">
        <f t="array" ref="L10">IF(cot_data[[#This Row],[objective_index]]="","",INDEX(encoding_cot2_scale,cot_data[[#This Row],[objective_index]]))</f>
        <v>5</v>
      </c>
      <c r="M10" s="50" t="str" cm="1">
        <f t="array" ref="M10">IF(cot_data[[#This Row],[objective_index]]="","",INDEX(encoding_cot3_scale,cot_data[[#This Row],[objective_index]]))</f>
        <v/>
      </c>
      <c r="N10" s="50" cm="1">
        <f t="array" ref="N10">IF(cot_data[[#This Row],[objective_index]]="","",INDEX(encoding_cot4_scale,cot_data[[#This Row],[objective_index]]))</f>
        <v>5</v>
      </c>
      <c r="O10" s="217" cm="1">
        <f t="array" ref="O10">IF(cot_data[[#This Row],[objective_index]]="","",INDEX(encoding_cot_ave,cot_data[[#This Row],[objective_index]]))</f>
        <v>5</v>
      </c>
    </row>
    <row r="11" spans="1:15" x14ac:dyDescent="0.25">
      <c r="A11" t="str" cm="1">
        <f t="array" ref="A11">IF(cot_data[[#This Row],[objective_index]]="","",demographics[uniquepersonnelid])</f>
        <v/>
      </c>
      <c r="B11" t="str">
        <f>IF(cot_data[[#This Row],[objective_index]]="","","SY "&amp;sy_start&amp;"-"&amp;sy_end)</f>
        <v/>
      </c>
      <c r="C11" t="str">
        <f>IF(cot_data[[#This Row],[objective_index]]="","",career_stage)</f>
        <v/>
      </c>
      <c r="D11" t="str">
        <f>IF(cot_data[[#This Row],[objective_index]]="","",teacher_type)</f>
        <v/>
      </c>
      <c r="E11" t="str" cm="1">
        <f t="array" ref="E11">IFERROR(SMALL(IF((INDEX(COT_helper,,)),MATCH(ROW(COT_helper),ROW(COT_helper)),""),ROW(cot_data[[#This Row],[uniquepersonnelid]])-1),"")</f>
        <v/>
      </c>
      <c r="F11" t="str" cm="1">
        <f t="array" ref="F11">IF(cot_data[[#This Row],[objective_index]]="","",INDEX(coi_ncoi_select,cot_data[[#This Row],[objective_index]],1))</f>
        <v/>
      </c>
      <c r="G11" s="50" t="str" cm="1">
        <f t="array" ref="G11">IF(OR(cot_data[[#This Row],[objective_index]]="",required_cot&lt;1),"",IF(INDEX(encoding_COT1_ratings,cot_data[[#This Row],[objective_index]])="","",INDEX(encoding_COT1_ratings,cot_data[[#This Row],[objective_index]])))</f>
        <v/>
      </c>
      <c r="H11" s="50" t="str" cm="1">
        <f t="array" ref="H11">IF(OR(cot_data[[#This Row],[objective_index]]="",required_cot&lt;2),"",IF(INDEX(encoding_COT2_ratings,cot_data[[#This Row],[objective_index]])="","",INDEX(encoding_COT2_ratings,cot_data[[#This Row],[objective_index]])))</f>
        <v/>
      </c>
      <c r="I11" s="50" t="str" cm="1">
        <f t="array" ref="I11">IF(OR(cot_data[[#This Row],[objective_index]]="",required_cot&lt;3),"",IF(INDEX(encoding_COT3_ratings,cot_data[[#This Row],[objective_index]])="","",INDEX(encoding_COT3_ratings,cot_data[[#This Row],[objective_index]])))</f>
        <v/>
      </c>
      <c r="J11" s="50" t="str" cm="1">
        <f t="array" ref="J11">IF(OR(cot_data[[#This Row],[objective_index]]="",required_cot&lt;4),"",IF(INDEX(encoding_COT4_ratings,cot_data[[#This Row],[objective_index]])="","",INDEX(encoding_COT4_ratings,cot_data[[#This Row],[objective_index]])))</f>
        <v/>
      </c>
      <c r="K11" s="50" t="str" cm="1">
        <f t="array" ref="K11">IF(cot_data[[#This Row],[objective_index]]="","",INDEX(encoding_cot1_scale,cot_data[[#This Row],[objective_index]]))</f>
        <v/>
      </c>
      <c r="L11" s="50" t="str" cm="1">
        <f t="array" ref="L11">IF(cot_data[[#This Row],[objective_index]]="","",INDEX(encoding_cot2_scale,cot_data[[#This Row],[objective_index]]))</f>
        <v/>
      </c>
      <c r="M11" s="50" t="str" cm="1">
        <f t="array" ref="M11">IF(cot_data[[#This Row],[objective_index]]="","",INDEX(encoding_cot3_scale,cot_data[[#This Row],[objective_index]]))</f>
        <v/>
      </c>
      <c r="N11" s="50" t="str" cm="1">
        <f t="array" ref="N11">IF(cot_data[[#This Row],[objective_index]]="","",INDEX(encoding_cot4_scale,cot_data[[#This Row],[objective_index]]))</f>
        <v/>
      </c>
      <c r="O11" s="217" t="str" cm="1">
        <f t="array" ref="O11">IF(cot_data[[#This Row],[objective_index]]="","",INDEX(encoding_cot_ave,cot_data[[#This Row],[objective_index]]))</f>
        <v/>
      </c>
    </row>
    <row r="12" spans="1:15" x14ac:dyDescent="0.25">
      <c r="A12" t="str" cm="1">
        <f t="array" ref="A12">IF(cot_data[[#This Row],[objective_index]]="","",demographics[uniquepersonnelid])</f>
        <v/>
      </c>
      <c r="B12" t="str">
        <f>IF(cot_data[[#This Row],[objective_index]]="","","SY "&amp;sy_start&amp;"-"&amp;sy_end)</f>
        <v/>
      </c>
      <c r="C12" t="str">
        <f>IF(cot_data[[#This Row],[objective_index]]="","",career_stage)</f>
        <v/>
      </c>
      <c r="D12" t="str">
        <f>IF(cot_data[[#This Row],[objective_index]]="","",teacher_type)</f>
        <v/>
      </c>
      <c r="E12" t="str" cm="1">
        <f t="array" ref="E12">IFERROR(SMALL(IF((INDEX(COT_helper,,)),MATCH(ROW(COT_helper),ROW(COT_helper)),""),ROW(cot_data[[#This Row],[uniquepersonnelid]])-1),"")</f>
        <v/>
      </c>
      <c r="F12" t="str" cm="1">
        <f t="array" ref="F12">IF(cot_data[[#This Row],[objective_index]]="","",INDEX(coi_ncoi_select,cot_data[[#This Row],[objective_index]],1))</f>
        <v/>
      </c>
      <c r="G12" s="50" t="str" cm="1">
        <f t="array" ref="G12">IF(OR(cot_data[[#This Row],[objective_index]]="",required_cot&lt;1),"",IF(INDEX(encoding_COT1_ratings,cot_data[[#This Row],[objective_index]])="","",INDEX(encoding_COT1_ratings,cot_data[[#This Row],[objective_index]])))</f>
        <v/>
      </c>
      <c r="H12" s="50" t="str" cm="1">
        <f t="array" ref="H12">IF(OR(cot_data[[#This Row],[objective_index]]="",required_cot&lt;2),"",IF(INDEX(encoding_COT2_ratings,cot_data[[#This Row],[objective_index]])="","",INDEX(encoding_COT2_ratings,cot_data[[#This Row],[objective_index]])))</f>
        <v/>
      </c>
      <c r="I12" s="50" t="str" cm="1">
        <f t="array" ref="I12">IF(OR(cot_data[[#This Row],[objective_index]]="",required_cot&lt;3),"",IF(INDEX(encoding_COT3_ratings,cot_data[[#This Row],[objective_index]])="","",INDEX(encoding_COT3_ratings,cot_data[[#This Row],[objective_index]])))</f>
        <v/>
      </c>
      <c r="J12" s="50" t="str" cm="1">
        <f t="array" ref="J12">IF(OR(cot_data[[#This Row],[objective_index]]="",required_cot&lt;4),"",IF(INDEX(encoding_COT4_ratings,cot_data[[#This Row],[objective_index]])="","",INDEX(encoding_COT4_ratings,cot_data[[#This Row],[objective_index]])))</f>
        <v/>
      </c>
      <c r="K12" s="50" t="str" cm="1">
        <f t="array" ref="K12">IF(cot_data[[#This Row],[objective_index]]="","",INDEX(encoding_cot1_scale,cot_data[[#This Row],[objective_index]]))</f>
        <v/>
      </c>
      <c r="L12" s="50" t="str" cm="1">
        <f t="array" ref="L12">IF(cot_data[[#This Row],[objective_index]]="","",INDEX(encoding_cot2_scale,cot_data[[#This Row],[objective_index]]))</f>
        <v/>
      </c>
      <c r="M12" s="50" t="str" cm="1">
        <f t="array" ref="M12">IF(cot_data[[#This Row],[objective_index]]="","",INDEX(encoding_cot3_scale,cot_data[[#This Row],[objective_index]]))</f>
        <v/>
      </c>
      <c r="N12" s="50" t="str" cm="1">
        <f t="array" ref="N12">IF(cot_data[[#This Row],[objective_index]]="","",INDEX(encoding_cot4_scale,cot_data[[#This Row],[objective_index]]))</f>
        <v/>
      </c>
      <c r="O12" s="217" t="str" cm="1">
        <f t="array" ref="O12">IF(cot_data[[#This Row],[objective_index]]="","",INDEX(encoding_cot_ave,cot_data[[#This Row],[objective_index]]))</f>
        <v/>
      </c>
    </row>
    <row r="13" spans="1:15" x14ac:dyDescent="0.25">
      <c r="A13" t="str" cm="1">
        <f t="array" ref="A13">IF(cot_data[[#This Row],[objective_index]]="","",demographics[uniquepersonnelid])</f>
        <v/>
      </c>
      <c r="B13" t="str">
        <f>IF(cot_data[[#This Row],[objective_index]]="","","SY "&amp;sy_start&amp;"-"&amp;sy_end)</f>
        <v/>
      </c>
      <c r="C13" t="str">
        <f>IF(cot_data[[#This Row],[objective_index]]="","",career_stage)</f>
        <v/>
      </c>
      <c r="D13" t="str">
        <f>IF(cot_data[[#This Row],[objective_index]]="","",teacher_type)</f>
        <v/>
      </c>
      <c r="E13" t="str" cm="1">
        <f t="array" ref="E13">IFERROR(SMALL(IF((INDEX(COT_helper,,)),MATCH(ROW(COT_helper),ROW(COT_helper)),""),ROW(cot_data[[#This Row],[uniquepersonnelid]])-1),"")</f>
        <v/>
      </c>
      <c r="F13" t="str" cm="1">
        <f t="array" ref="F13">IF(cot_data[[#This Row],[objective_index]]="","",INDEX(coi_ncoi_select,cot_data[[#This Row],[objective_index]],1))</f>
        <v/>
      </c>
      <c r="G13" s="50" t="str" cm="1">
        <f t="array" ref="G13">IF(OR(cot_data[[#This Row],[objective_index]]="",required_cot&lt;1),"",IF(INDEX(encoding_COT1_ratings,cot_data[[#This Row],[objective_index]])="","",INDEX(encoding_COT1_ratings,cot_data[[#This Row],[objective_index]])))</f>
        <v/>
      </c>
      <c r="H13" s="50" t="str" cm="1">
        <f t="array" ref="H13">IF(OR(cot_data[[#This Row],[objective_index]]="",required_cot&lt;2),"",IF(INDEX(encoding_COT2_ratings,cot_data[[#This Row],[objective_index]])="","",INDEX(encoding_COT2_ratings,cot_data[[#This Row],[objective_index]])))</f>
        <v/>
      </c>
      <c r="I13" s="50" t="str" cm="1">
        <f t="array" ref="I13">IF(OR(cot_data[[#This Row],[objective_index]]="",required_cot&lt;3),"",IF(INDEX(encoding_COT3_ratings,cot_data[[#This Row],[objective_index]])="","",INDEX(encoding_COT3_ratings,cot_data[[#This Row],[objective_index]])))</f>
        <v/>
      </c>
      <c r="J13" s="50" t="str" cm="1">
        <f t="array" ref="J13">IF(OR(cot_data[[#This Row],[objective_index]]="",required_cot&lt;4),"",IF(INDEX(encoding_COT4_ratings,cot_data[[#This Row],[objective_index]])="","",INDEX(encoding_COT4_ratings,cot_data[[#This Row],[objective_index]])))</f>
        <v/>
      </c>
      <c r="K13" s="50" t="str" cm="1">
        <f t="array" ref="K13">IF(cot_data[[#This Row],[objective_index]]="","",INDEX(encoding_cot1_scale,cot_data[[#This Row],[objective_index]]))</f>
        <v/>
      </c>
      <c r="L13" s="50" t="str" cm="1">
        <f t="array" ref="L13">IF(cot_data[[#This Row],[objective_index]]="","",INDEX(encoding_cot2_scale,cot_data[[#This Row],[objective_index]]))</f>
        <v/>
      </c>
      <c r="M13" s="50" t="str" cm="1">
        <f t="array" ref="M13">IF(cot_data[[#This Row],[objective_index]]="","",INDEX(encoding_cot3_scale,cot_data[[#This Row],[objective_index]]))</f>
        <v/>
      </c>
      <c r="N13" s="50" t="str" cm="1">
        <f t="array" ref="N13">IF(cot_data[[#This Row],[objective_index]]="","",INDEX(encoding_cot4_scale,cot_data[[#This Row],[objective_index]]))</f>
        <v/>
      </c>
      <c r="O13" s="217" t="str" cm="1">
        <f t="array" ref="O13">IF(cot_data[[#This Row],[objective_index]]="","",INDEX(encoding_cot_ave,cot_data[[#This Row],[objective_index]]))</f>
        <v/>
      </c>
    </row>
    <row r="14" spans="1:15" x14ac:dyDescent="0.25">
      <c r="A14" t="str" cm="1">
        <f t="array" ref="A14">IF(cot_data[[#This Row],[objective_index]]="","",demographics[uniquepersonnelid])</f>
        <v/>
      </c>
      <c r="B14" t="str">
        <f>IF(cot_data[[#This Row],[objective_index]]="","","SY "&amp;sy_start&amp;"-"&amp;sy_end)</f>
        <v/>
      </c>
      <c r="C14" t="str">
        <f>IF(cot_data[[#This Row],[objective_index]]="","",career_stage)</f>
        <v/>
      </c>
      <c r="D14" t="str">
        <f>IF(cot_data[[#This Row],[objective_index]]="","",teacher_type)</f>
        <v/>
      </c>
      <c r="E14" t="str" cm="1">
        <f t="array" ref="E14">IFERROR(SMALL(IF((INDEX(COT_helper,,)),MATCH(ROW(COT_helper),ROW(COT_helper)),""),ROW(cot_data[[#This Row],[uniquepersonnelid]])-1),"")</f>
        <v/>
      </c>
      <c r="F14" t="str" cm="1">
        <f t="array" ref="F14">IF(cot_data[[#This Row],[objective_index]]="","",INDEX(coi_ncoi_select,cot_data[[#This Row],[objective_index]],1))</f>
        <v/>
      </c>
      <c r="G14" s="50" t="str" cm="1">
        <f t="array" ref="G14">IF(OR(cot_data[[#This Row],[objective_index]]="",required_cot&lt;1),"",IF(INDEX(encoding_COT1_ratings,cot_data[[#This Row],[objective_index]])="","",INDEX(encoding_COT1_ratings,cot_data[[#This Row],[objective_index]])))</f>
        <v/>
      </c>
      <c r="H14" s="50" t="str" cm="1">
        <f t="array" ref="H14">IF(OR(cot_data[[#This Row],[objective_index]]="",required_cot&lt;2),"",IF(INDEX(encoding_COT2_ratings,cot_data[[#This Row],[objective_index]])="","",INDEX(encoding_COT2_ratings,cot_data[[#This Row],[objective_index]])))</f>
        <v/>
      </c>
      <c r="I14" s="50" t="str" cm="1">
        <f t="array" ref="I14">IF(OR(cot_data[[#This Row],[objective_index]]="",required_cot&lt;3),"",IF(INDEX(encoding_COT3_ratings,cot_data[[#This Row],[objective_index]])="","",INDEX(encoding_COT3_ratings,cot_data[[#This Row],[objective_index]])))</f>
        <v/>
      </c>
      <c r="J14" s="50" t="str" cm="1">
        <f t="array" ref="J14">IF(OR(cot_data[[#This Row],[objective_index]]="",required_cot&lt;4),"",IF(INDEX(encoding_COT4_ratings,cot_data[[#This Row],[objective_index]])="","",INDEX(encoding_COT4_ratings,cot_data[[#This Row],[objective_index]])))</f>
        <v/>
      </c>
      <c r="K14" s="50" t="str" cm="1">
        <f t="array" ref="K14">IF(cot_data[[#This Row],[objective_index]]="","",INDEX(encoding_cot1_scale,cot_data[[#This Row],[objective_index]]))</f>
        <v/>
      </c>
      <c r="L14" s="50" t="str" cm="1">
        <f t="array" ref="L14">IF(cot_data[[#This Row],[objective_index]]="","",INDEX(encoding_cot2_scale,cot_data[[#This Row],[objective_index]]))</f>
        <v/>
      </c>
      <c r="M14" s="50" t="str" cm="1">
        <f t="array" ref="M14">IF(cot_data[[#This Row],[objective_index]]="","",INDEX(encoding_cot3_scale,cot_data[[#This Row],[objective_index]]))</f>
        <v/>
      </c>
      <c r="N14" s="50" t="str" cm="1">
        <f t="array" ref="N14">IF(cot_data[[#This Row],[objective_index]]="","",INDEX(encoding_cot4_scale,cot_data[[#This Row],[objective_index]]))</f>
        <v/>
      </c>
      <c r="O14" s="217" t="str" cm="1">
        <f t="array" ref="O14">IF(cot_data[[#This Row],[objective_index]]="","",INDEX(encoding_cot_ave,cot_data[[#This Row],[objective_index]]))</f>
        <v/>
      </c>
    </row>
    <row r="15" spans="1:15" x14ac:dyDescent="0.25">
      <c r="A15" t="str" cm="1">
        <f t="array" ref="A15">IF(cot_data[[#This Row],[objective_index]]="","",demographics[uniquepersonnelid])</f>
        <v/>
      </c>
      <c r="B15" t="str">
        <f>IF(cot_data[[#This Row],[objective_index]]="","","SY "&amp;sy_start&amp;"-"&amp;sy_end)</f>
        <v/>
      </c>
      <c r="C15" t="str">
        <f>IF(cot_data[[#This Row],[objective_index]]="","",career_stage)</f>
        <v/>
      </c>
      <c r="D15" t="str">
        <f>IF(cot_data[[#This Row],[objective_index]]="","",teacher_type)</f>
        <v/>
      </c>
      <c r="E15" t="str" cm="1">
        <f t="array" ref="E15">IFERROR(SMALL(IF((INDEX(COT_helper,,)),MATCH(ROW(COT_helper),ROW(COT_helper)),""),ROW(cot_data[[#This Row],[uniquepersonnelid]])-1),"")</f>
        <v/>
      </c>
      <c r="F15" t="str" cm="1">
        <f t="array" ref="F15">IF(cot_data[[#This Row],[objective_index]]="","",INDEX(coi_ncoi_select,cot_data[[#This Row],[objective_index]],1))</f>
        <v/>
      </c>
      <c r="G15" s="50" t="str" cm="1">
        <f t="array" ref="G15">IF(OR(cot_data[[#This Row],[objective_index]]="",required_cot&lt;1),"",IF(INDEX(encoding_COT1_ratings,cot_data[[#This Row],[objective_index]])="","",INDEX(encoding_COT1_ratings,cot_data[[#This Row],[objective_index]])))</f>
        <v/>
      </c>
      <c r="H15" s="50" t="str" cm="1">
        <f t="array" ref="H15">IF(OR(cot_data[[#This Row],[objective_index]]="",required_cot&lt;2),"",IF(INDEX(encoding_COT2_ratings,cot_data[[#This Row],[objective_index]])="","",INDEX(encoding_COT2_ratings,cot_data[[#This Row],[objective_index]])))</f>
        <v/>
      </c>
      <c r="I15" s="50" t="str" cm="1">
        <f t="array" ref="I15">IF(OR(cot_data[[#This Row],[objective_index]]="",required_cot&lt;3),"",IF(INDEX(encoding_COT3_ratings,cot_data[[#This Row],[objective_index]])="","",INDEX(encoding_COT3_ratings,cot_data[[#This Row],[objective_index]])))</f>
        <v/>
      </c>
      <c r="J15" s="50" t="str" cm="1">
        <f t="array" ref="J15">IF(OR(cot_data[[#This Row],[objective_index]]="",required_cot&lt;4),"",IF(INDEX(encoding_COT4_ratings,cot_data[[#This Row],[objective_index]])="","",INDEX(encoding_COT4_ratings,cot_data[[#This Row],[objective_index]])))</f>
        <v/>
      </c>
      <c r="K15" s="50" t="str" cm="1">
        <f t="array" ref="K15">IF(cot_data[[#This Row],[objective_index]]="","",INDEX(encoding_cot1_scale,cot_data[[#This Row],[objective_index]]))</f>
        <v/>
      </c>
      <c r="L15" s="50" t="str" cm="1">
        <f t="array" ref="L15">IF(cot_data[[#This Row],[objective_index]]="","",INDEX(encoding_cot2_scale,cot_data[[#This Row],[objective_index]]))</f>
        <v/>
      </c>
      <c r="M15" s="50" t="str" cm="1">
        <f t="array" ref="M15">IF(cot_data[[#This Row],[objective_index]]="","",INDEX(encoding_cot3_scale,cot_data[[#This Row],[objective_index]]))</f>
        <v/>
      </c>
      <c r="N15" s="50" t="str" cm="1">
        <f t="array" ref="N15">IF(cot_data[[#This Row],[objective_index]]="","",INDEX(encoding_cot4_scale,cot_data[[#This Row],[objective_index]]))</f>
        <v/>
      </c>
      <c r="O15" s="217" t="str" cm="1">
        <f t="array" ref="O15">IF(cot_data[[#This Row],[objective_index]]="","",INDEX(encoding_cot_ave,cot_data[[#This Row],[objective_index]]))</f>
        <v/>
      </c>
    </row>
    <row r="16" spans="1:15" x14ac:dyDescent="0.25">
      <c r="A16" t="str" cm="1">
        <f t="array" ref="A16">IF(cot_data[[#This Row],[objective_index]]="","",demographics[uniquepersonnelid])</f>
        <v/>
      </c>
      <c r="B16" t="str">
        <f>IF(cot_data[[#This Row],[objective_index]]="","","SY "&amp;sy_start&amp;"-"&amp;sy_end)</f>
        <v/>
      </c>
      <c r="C16" t="str">
        <f>IF(cot_data[[#This Row],[objective_index]]="","",career_stage)</f>
        <v/>
      </c>
      <c r="D16" t="str">
        <f>IF(cot_data[[#This Row],[objective_index]]="","",teacher_type)</f>
        <v/>
      </c>
      <c r="E16" t="str" cm="1">
        <f t="array" ref="E16">IFERROR(SMALL(IF((INDEX(COT_helper,,)),MATCH(ROW(COT_helper),ROW(COT_helper)),""),ROW(cot_data[[#This Row],[uniquepersonnelid]])-1),"")</f>
        <v/>
      </c>
      <c r="F16" t="str" cm="1">
        <f t="array" ref="F16">IF(cot_data[[#This Row],[objective_index]]="","",INDEX(coi_ncoi_select,cot_data[[#This Row],[objective_index]],1))</f>
        <v/>
      </c>
      <c r="G16" s="50" t="str" cm="1">
        <f t="array" ref="G16">IF(OR(cot_data[[#This Row],[objective_index]]="",required_cot&lt;1),"",IF(INDEX(encoding_COT1_ratings,cot_data[[#This Row],[objective_index]])="","",INDEX(encoding_COT1_ratings,cot_data[[#This Row],[objective_index]])))</f>
        <v/>
      </c>
      <c r="H16" s="50" t="str" cm="1">
        <f t="array" ref="H16">IF(OR(cot_data[[#This Row],[objective_index]]="",required_cot&lt;2),"",IF(INDEX(encoding_COT2_ratings,cot_data[[#This Row],[objective_index]])="","",INDEX(encoding_COT2_ratings,cot_data[[#This Row],[objective_index]])))</f>
        <v/>
      </c>
      <c r="I16" s="50" t="str" cm="1">
        <f t="array" ref="I16">IF(OR(cot_data[[#This Row],[objective_index]]="",required_cot&lt;3),"",IF(INDEX(encoding_COT3_ratings,cot_data[[#This Row],[objective_index]])="","",INDEX(encoding_COT3_ratings,cot_data[[#This Row],[objective_index]])))</f>
        <v/>
      </c>
      <c r="J16" s="50" t="str" cm="1">
        <f t="array" ref="J16">IF(OR(cot_data[[#This Row],[objective_index]]="",required_cot&lt;4),"",IF(INDEX(encoding_COT4_ratings,cot_data[[#This Row],[objective_index]])="","",INDEX(encoding_COT4_ratings,cot_data[[#This Row],[objective_index]])))</f>
        <v/>
      </c>
      <c r="K16" s="50" t="str" cm="1">
        <f t="array" ref="K16">IF(cot_data[[#This Row],[objective_index]]="","",INDEX(encoding_cot1_scale,cot_data[[#This Row],[objective_index]]))</f>
        <v/>
      </c>
      <c r="L16" s="50" t="str" cm="1">
        <f t="array" ref="L16">IF(cot_data[[#This Row],[objective_index]]="","",INDEX(encoding_cot2_scale,cot_data[[#This Row],[objective_index]]))</f>
        <v/>
      </c>
      <c r="M16" s="50" t="str" cm="1">
        <f t="array" ref="M16">IF(cot_data[[#This Row],[objective_index]]="","",INDEX(encoding_cot3_scale,cot_data[[#This Row],[objective_index]]))</f>
        <v/>
      </c>
      <c r="N16" s="50" t="str" cm="1">
        <f t="array" ref="N16">IF(cot_data[[#This Row],[objective_index]]="","",INDEX(encoding_cot4_scale,cot_data[[#This Row],[objective_index]]))</f>
        <v/>
      </c>
      <c r="O16" s="217" t="str" cm="1">
        <f t="array" ref="O16">IF(cot_data[[#This Row],[objective_index]]="","",INDEX(encoding_cot_ave,cot_data[[#This Row],[objective_index]]))</f>
        <v/>
      </c>
    </row>
    <row r="17" spans="1:15" x14ac:dyDescent="0.25">
      <c r="A17" t="str" cm="1">
        <f t="array" ref="A17">IF(cot_data[[#This Row],[objective_index]]="","",demographics[uniquepersonnelid])</f>
        <v/>
      </c>
      <c r="B17" t="str">
        <f>IF(cot_data[[#This Row],[objective_index]]="","","SY "&amp;sy_start&amp;"-"&amp;sy_end)</f>
        <v/>
      </c>
      <c r="C17" t="str">
        <f>IF(cot_data[[#This Row],[objective_index]]="","",career_stage)</f>
        <v/>
      </c>
      <c r="D17" t="str">
        <f>IF(cot_data[[#This Row],[objective_index]]="","",teacher_type)</f>
        <v/>
      </c>
      <c r="E17" t="str" cm="1">
        <f t="array" ref="E17">IFERROR(SMALL(IF((INDEX(COT_helper,,)),MATCH(ROW(COT_helper),ROW(COT_helper)),""),ROW(cot_data[[#This Row],[uniquepersonnelid]])-1),"")</f>
        <v/>
      </c>
      <c r="F17" t="str" cm="1">
        <f t="array" ref="F17">IF(cot_data[[#This Row],[objective_index]]="","",INDEX(coi_ncoi_select,cot_data[[#This Row],[objective_index]],1))</f>
        <v/>
      </c>
      <c r="G17" s="50" t="str" cm="1">
        <f t="array" ref="G17">IF(OR(cot_data[[#This Row],[objective_index]]="",required_cot&lt;1),"",IF(INDEX(encoding_COT1_ratings,cot_data[[#This Row],[objective_index]])="","",INDEX(encoding_COT1_ratings,cot_data[[#This Row],[objective_index]])))</f>
        <v/>
      </c>
      <c r="H17" s="50" t="str" cm="1">
        <f t="array" ref="H17">IF(OR(cot_data[[#This Row],[objective_index]]="",required_cot&lt;2),"",IF(INDEX(encoding_COT2_ratings,cot_data[[#This Row],[objective_index]])="","",INDEX(encoding_COT2_ratings,cot_data[[#This Row],[objective_index]])))</f>
        <v/>
      </c>
      <c r="I17" s="50" t="str" cm="1">
        <f t="array" ref="I17">IF(OR(cot_data[[#This Row],[objective_index]]="",required_cot&lt;3),"",IF(INDEX(encoding_COT3_ratings,cot_data[[#This Row],[objective_index]])="","",INDEX(encoding_COT3_ratings,cot_data[[#This Row],[objective_index]])))</f>
        <v/>
      </c>
      <c r="J17" s="50" t="str" cm="1">
        <f t="array" ref="J17">IF(OR(cot_data[[#This Row],[objective_index]]="",required_cot&lt;4),"",IF(INDEX(encoding_COT4_ratings,cot_data[[#This Row],[objective_index]])="","",INDEX(encoding_COT4_ratings,cot_data[[#This Row],[objective_index]])))</f>
        <v/>
      </c>
      <c r="K17" s="50" t="str" cm="1">
        <f t="array" ref="K17">IF(cot_data[[#This Row],[objective_index]]="","",INDEX(encoding_cot1_scale,cot_data[[#This Row],[objective_index]]))</f>
        <v/>
      </c>
      <c r="L17" s="50" t="str" cm="1">
        <f t="array" ref="L17">IF(cot_data[[#This Row],[objective_index]]="","",INDEX(encoding_cot2_scale,cot_data[[#This Row],[objective_index]]))</f>
        <v/>
      </c>
      <c r="M17" s="50" t="str" cm="1">
        <f t="array" ref="M17">IF(cot_data[[#This Row],[objective_index]]="","",INDEX(encoding_cot3_scale,cot_data[[#This Row],[objective_index]]))</f>
        <v/>
      </c>
      <c r="N17" s="50" t="str" cm="1">
        <f t="array" ref="N17">IF(cot_data[[#This Row],[objective_index]]="","",INDEX(encoding_cot4_scale,cot_data[[#This Row],[objective_index]]))</f>
        <v/>
      </c>
      <c r="O17" s="217" t="str" cm="1">
        <f t="array" ref="O17">IF(cot_data[[#This Row],[objective_index]]="","",INDEX(encoding_cot_ave,cot_data[[#This Row],[objective_index]]))</f>
        <v/>
      </c>
    </row>
    <row r="18" spans="1:15" x14ac:dyDescent="0.25">
      <c r="A18" t="str" cm="1">
        <f t="array" ref="A18">IF(cot_data[[#This Row],[objective_index]]="","",demographics[uniquepersonnelid])</f>
        <v/>
      </c>
      <c r="B18" t="str">
        <f>IF(cot_data[[#This Row],[objective_index]]="","","SY "&amp;sy_start&amp;"-"&amp;sy_end)</f>
        <v/>
      </c>
      <c r="C18" t="str">
        <f>IF(cot_data[[#This Row],[objective_index]]="","",career_stage)</f>
        <v/>
      </c>
      <c r="D18" t="str">
        <f>IF(cot_data[[#This Row],[objective_index]]="","",teacher_type)</f>
        <v/>
      </c>
      <c r="E18" t="str" cm="1">
        <f t="array" ref="E18">IFERROR(SMALL(IF((INDEX(COT_helper,,)),MATCH(ROW(COT_helper),ROW(COT_helper)),""),ROW(cot_data[[#This Row],[uniquepersonnelid]])-1),"")</f>
        <v/>
      </c>
      <c r="F18" t="str" cm="1">
        <f t="array" ref="F18">IF(cot_data[[#This Row],[objective_index]]="","",INDEX(coi_ncoi_select,cot_data[[#This Row],[objective_index]],1))</f>
        <v/>
      </c>
      <c r="G18" s="50" t="str" cm="1">
        <f t="array" ref="G18">IF(OR(cot_data[[#This Row],[objective_index]]="",required_cot&lt;1),"",IF(INDEX(encoding_COT1_ratings,cot_data[[#This Row],[objective_index]])="","",INDEX(encoding_COT1_ratings,cot_data[[#This Row],[objective_index]])))</f>
        <v/>
      </c>
      <c r="H18" s="50" t="str" cm="1">
        <f t="array" ref="H18">IF(OR(cot_data[[#This Row],[objective_index]]="",required_cot&lt;2),"",IF(INDEX(encoding_COT2_ratings,cot_data[[#This Row],[objective_index]])="","",INDEX(encoding_COT2_ratings,cot_data[[#This Row],[objective_index]])))</f>
        <v/>
      </c>
      <c r="I18" s="50" t="str" cm="1">
        <f t="array" ref="I18">IF(OR(cot_data[[#This Row],[objective_index]]="",required_cot&lt;3),"",IF(INDEX(encoding_COT3_ratings,cot_data[[#This Row],[objective_index]])="","",INDEX(encoding_COT3_ratings,cot_data[[#This Row],[objective_index]])))</f>
        <v/>
      </c>
      <c r="J18" s="50" t="str" cm="1">
        <f t="array" ref="J18">IF(OR(cot_data[[#This Row],[objective_index]]="",required_cot&lt;4),"",IF(INDEX(encoding_COT4_ratings,cot_data[[#This Row],[objective_index]])="","",INDEX(encoding_COT4_ratings,cot_data[[#This Row],[objective_index]])))</f>
        <v/>
      </c>
      <c r="K18" s="50" t="str" cm="1">
        <f t="array" ref="K18">IF(cot_data[[#This Row],[objective_index]]="","",INDEX(encoding_cot1_scale,cot_data[[#This Row],[objective_index]]))</f>
        <v/>
      </c>
      <c r="L18" s="50" t="str" cm="1">
        <f t="array" ref="L18">IF(cot_data[[#This Row],[objective_index]]="","",INDEX(encoding_cot2_scale,cot_data[[#This Row],[objective_index]]))</f>
        <v/>
      </c>
      <c r="M18" s="50" t="str" cm="1">
        <f t="array" ref="M18">IF(cot_data[[#This Row],[objective_index]]="","",INDEX(encoding_cot3_scale,cot_data[[#This Row],[objective_index]]))</f>
        <v/>
      </c>
      <c r="N18" s="50" t="str" cm="1">
        <f t="array" ref="N18">IF(cot_data[[#This Row],[objective_index]]="","",INDEX(encoding_cot4_scale,cot_data[[#This Row],[objective_index]]))</f>
        <v/>
      </c>
      <c r="O18" s="217" t="str" cm="1">
        <f t="array" ref="O18">IF(cot_data[[#This Row],[objective_index]]="","",INDEX(encoding_cot_ave,cot_data[[#This Row],[objective_index]]))</f>
        <v/>
      </c>
    </row>
    <row r="19" spans="1:15" x14ac:dyDescent="0.25">
      <c r="A19" t="str" cm="1">
        <f t="array" ref="A19">IF(cot_data[[#This Row],[objective_index]]="","",demographics[uniquepersonnelid])</f>
        <v/>
      </c>
      <c r="B19" t="str">
        <f>IF(cot_data[[#This Row],[objective_index]]="","","SY "&amp;sy_start&amp;"-"&amp;sy_end)</f>
        <v/>
      </c>
      <c r="C19" t="str">
        <f>IF(cot_data[[#This Row],[objective_index]]="","",career_stage)</f>
        <v/>
      </c>
      <c r="D19" t="str">
        <f>IF(cot_data[[#This Row],[objective_index]]="","",teacher_type)</f>
        <v/>
      </c>
      <c r="E19" t="str" cm="1">
        <f t="array" ref="E19">IFERROR(SMALL(IF((INDEX(COT_helper,,)),MATCH(ROW(COT_helper),ROW(COT_helper)),""),ROW(cot_data[[#This Row],[uniquepersonnelid]])-1),"")</f>
        <v/>
      </c>
      <c r="F19" t="str" cm="1">
        <f t="array" ref="F19">IF(cot_data[[#This Row],[objective_index]]="","",INDEX(coi_ncoi_select,cot_data[[#This Row],[objective_index]],1))</f>
        <v/>
      </c>
      <c r="G19" s="50" t="str" cm="1">
        <f t="array" ref="G19">IF(OR(cot_data[[#This Row],[objective_index]]="",required_cot&lt;1),"",IF(INDEX(encoding_COT1_ratings,cot_data[[#This Row],[objective_index]])="","",INDEX(encoding_COT1_ratings,cot_data[[#This Row],[objective_index]])))</f>
        <v/>
      </c>
      <c r="H19" s="50" t="str" cm="1">
        <f t="array" ref="H19">IF(OR(cot_data[[#This Row],[objective_index]]="",required_cot&lt;2),"",IF(INDEX(encoding_COT2_ratings,cot_data[[#This Row],[objective_index]])="","",INDEX(encoding_COT2_ratings,cot_data[[#This Row],[objective_index]])))</f>
        <v/>
      </c>
      <c r="I19" s="50" t="str" cm="1">
        <f t="array" ref="I19">IF(OR(cot_data[[#This Row],[objective_index]]="",required_cot&lt;3),"",IF(INDEX(encoding_COT3_ratings,cot_data[[#This Row],[objective_index]])="","",INDEX(encoding_COT3_ratings,cot_data[[#This Row],[objective_index]])))</f>
        <v/>
      </c>
      <c r="J19" s="50" t="str" cm="1">
        <f t="array" ref="J19">IF(OR(cot_data[[#This Row],[objective_index]]="",required_cot&lt;4),"",IF(INDEX(encoding_COT4_ratings,cot_data[[#This Row],[objective_index]])="","",INDEX(encoding_COT4_ratings,cot_data[[#This Row],[objective_index]])))</f>
        <v/>
      </c>
      <c r="K19" s="50" t="str" cm="1">
        <f t="array" ref="K19">IF(cot_data[[#This Row],[objective_index]]="","",INDEX(encoding_cot1_scale,cot_data[[#This Row],[objective_index]]))</f>
        <v/>
      </c>
      <c r="L19" s="50" t="str" cm="1">
        <f t="array" ref="L19">IF(cot_data[[#This Row],[objective_index]]="","",INDEX(encoding_cot2_scale,cot_data[[#This Row],[objective_index]]))</f>
        <v/>
      </c>
      <c r="M19" s="50" t="str" cm="1">
        <f t="array" ref="M19">IF(cot_data[[#This Row],[objective_index]]="","",INDEX(encoding_cot3_scale,cot_data[[#This Row],[objective_index]]))</f>
        <v/>
      </c>
      <c r="N19" s="50" t="str" cm="1">
        <f t="array" ref="N19">IF(cot_data[[#This Row],[objective_index]]="","",INDEX(encoding_cot4_scale,cot_data[[#This Row],[objective_index]]))</f>
        <v/>
      </c>
      <c r="O19" s="217" t="str" cm="1">
        <f t="array" ref="O19">IF(cot_data[[#This Row],[objective_index]]="","",INDEX(encoding_cot_ave,cot_data[[#This Row],[objective_index]]))</f>
        <v/>
      </c>
    </row>
    <row r="20" spans="1:15" x14ac:dyDescent="0.25">
      <c r="A20" t="str" cm="1">
        <f t="array" ref="A20">IF(cot_data[[#This Row],[objective_index]]="","",demographics[uniquepersonnelid])</f>
        <v/>
      </c>
      <c r="B20" t="str">
        <f>IF(cot_data[[#This Row],[objective_index]]="","","SY "&amp;sy_start&amp;"-"&amp;sy_end)</f>
        <v/>
      </c>
      <c r="C20" t="str">
        <f>IF(cot_data[[#This Row],[objective_index]]="","",career_stage)</f>
        <v/>
      </c>
      <c r="D20" t="str">
        <f>IF(cot_data[[#This Row],[objective_index]]="","",teacher_type)</f>
        <v/>
      </c>
      <c r="E20" t="str" cm="1">
        <f t="array" ref="E20">IFERROR(SMALL(IF((INDEX(COT_helper,,)),MATCH(ROW(COT_helper),ROW(COT_helper)),""),ROW(cot_data[[#This Row],[uniquepersonnelid]])-1),"")</f>
        <v/>
      </c>
      <c r="F20" t="str" cm="1">
        <f t="array" ref="F20">IF(cot_data[[#This Row],[objective_index]]="","",INDEX(coi_ncoi_select,cot_data[[#This Row],[objective_index]],1))</f>
        <v/>
      </c>
      <c r="G20" s="50" t="str" cm="1">
        <f t="array" ref="G20">IF(OR(cot_data[[#This Row],[objective_index]]="",required_cot&lt;1),"",IF(INDEX(encoding_COT1_ratings,cot_data[[#This Row],[objective_index]])="","",INDEX(encoding_COT1_ratings,cot_data[[#This Row],[objective_index]])))</f>
        <v/>
      </c>
      <c r="H20" s="50" t="str" cm="1">
        <f t="array" ref="H20">IF(OR(cot_data[[#This Row],[objective_index]]="",required_cot&lt;2),"",IF(INDEX(encoding_COT2_ratings,cot_data[[#This Row],[objective_index]])="","",INDEX(encoding_COT2_ratings,cot_data[[#This Row],[objective_index]])))</f>
        <v/>
      </c>
      <c r="I20" s="50" t="str" cm="1">
        <f t="array" ref="I20">IF(OR(cot_data[[#This Row],[objective_index]]="",required_cot&lt;3),"",IF(INDEX(encoding_COT3_ratings,cot_data[[#This Row],[objective_index]])="","",INDEX(encoding_COT3_ratings,cot_data[[#This Row],[objective_index]])))</f>
        <v/>
      </c>
      <c r="J20" s="50" t="str" cm="1">
        <f t="array" ref="J20">IF(OR(cot_data[[#This Row],[objective_index]]="",required_cot&lt;4),"",IF(INDEX(encoding_COT4_ratings,cot_data[[#This Row],[objective_index]])="","",INDEX(encoding_COT4_ratings,cot_data[[#This Row],[objective_index]])))</f>
        <v/>
      </c>
      <c r="K20" s="50" t="str" cm="1">
        <f t="array" ref="K20">IF(cot_data[[#This Row],[objective_index]]="","",INDEX(encoding_cot1_scale,cot_data[[#This Row],[objective_index]]))</f>
        <v/>
      </c>
      <c r="L20" s="50" t="str" cm="1">
        <f t="array" ref="L20">IF(cot_data[[#This Row],[objective_index]]="","",INDEX(encoding_cot2_scale,cot_data[[#This Row],[objective_index]]))</f>
        <v/>
      </c>
      <c r="M20" s="50" t="str" cm="1">
        <f t="array" ref="M20">IF(cot_data[[#This Row],[objective_index]]="","",INDEX(encoding_cot3_scale,cot_data[[#This Row],[objective_index]]))</f>
        <v/>
      </c>
      <c r="N20" s="50" t="str" cm="1">
        <f t="array" ref="N20">IF(cot_data[[#This Row],[objective_index]]="","",INDEX(encoding_cot4_scale,cot_data[[#This Row],[objective_index]]))</f>
        <v/>
      </c>
      <c r="O20" s="217" t="str" cm="1">
        <f t="array" ref="O20">IF(cot_data[[#This Row],[objective_index]]="","",INDEX(encoding_cot_ave,cot_data[[#This Row],[objective_index]]))</f>
        <v/>
      </c>
    </row>
    <row r="21" spans="1:15" x14ac:dyDescent="0.25">
      <c r="A21" t="str" cm="1">
        <f t="array" ref="A21">IF(cot_data[[#This Row],[objective_index]]="","",demographics[uniquepersonnelid])</f>
        <v/>
      </c>
      <c r="B21" t="str">
        <f>IF(cot_data[[#This Row],[objective_index]]="","","SY "&amp;sy_start&amp;"-"&amp;sy_end)</f>
        <v/>
      </c>
      <c r="C21" t="str">
        <f>IF(cot_data[[#This Row],[objective_index]]="","",career_stage)</f>
        <v/>
      </c>
      <c r="D21" t="str">
        <f>IF(cot_data[[#This Row],[objective_index]]="","",teacher_type)</f>
        <v/>
      </c>
      <c r="E21" t="str" cm="1">
        <f t="array" ref="E21">IFERROR(SMALL(IF((INDEX(COT_helper,,)),MATCH(ROW(COT_helper),ROW(COT_helper)),""),ROW(cot_data[[#This Row],[uniquepersonnelid]])-1),"")</f>
        <v/>
      </c>
      <c r="F21" t="str" cm="1">
        <f t="array" ref="F21">IF(cot_data[[#This Row],[objective_index]]="","",INDEX(coi_ncoi_select,cot_data[[#This Row],[objective_index]],1))</f>
        <v/>
      </c>
      <c r="G21" s="50" t="str" cm="1">
        <f t="array" ref="G21">IF(OR(cot_data[[#This Row],[objective_index]]="",required_cot&lt;1),"",IF(INDEX(encoding_COT1_ratings,cot_data[[#This Row],[objective_index]])="","",INDEX(encoding_COT1_ratings,cot_data[[#This Row],[objective_index]])))</f>
        <v/>
      </c>
      <c r="H21" s="50" t="str" cm="1">
        <f t="array" ref="H21">IF(OR(cot_data[[#This Row],[objective_index]]="",required_cot&lt;2),"",IF(INDEX(encoding_COT2_ratings,cot_data[[#This Row],[objective_index]])="","",INDEX(encoding_COT2_ratings,cot_data[[#This Row],[objective_index]])))</f>
        <v/>
      </c>
      <c r="I21" s="50" t="str" cm="1">
        <f t="array" ref="I21">IF(OR(cot_data[[#This Row],[objective_index]]="",required_cot&lt;3),"",IF(INDEX(encoding_COT3_ratings,cot_data[[#This Row],[objective_index]])="","",INDEX(encoding_COT3_ratings,cot_data[[#This Row],[objective_index]])))</f>
        <v/>
      </c>
      <c r="J21" s="50" t="str" cm="1">
        <f t="array" ref="J21">IF(OR(cot_data[[#This Row],[objective_index]]="",required_cot&lt;4),"",IF(INDEX(encoding_COT4_ratings,cot_data[[#This Row],[objective_index]])="","",INDEX(encoding_COT4_ratings,cot_data[[#This Row],[objective_index]])))</f>
        <v/>
      </c>
      <c r="K21" s="50" t="str" cm="1">
        <f t="array" ref="K21">IF(cot_data[[#This Row],[objective_index]]="","",INDEX(encoding_cot1_scale,cot_data[[#This Row],[objective_index]]))</f>
        <v/>
      </c>
      <c r="L21" s="50" t="str" cm="1">
        <f t="array" ref="L21">IF(cot_data[[#This Row],[objective_index]]="","",INDEX(encoding_cot2_scale,cot_data[[#This Row],[objective_index]]))</f>
        <v/>
      </c>
      <c r="M21" s="50" t="str" cm="1">
        <f t="array" ref="M21">IF(cot_data[[#This Row],[objective_index]]="","",INDEX(encoding_cot3_scale,cot_data[[#This Row],[objective_index]]))</f>
        <v/>
      </c>
      <c r="N21" s="50" t="str" cm="1">
        <f t="array" ref="N21">IF(cot_data[[#This Row],[objective_index]]="","",INDEX(encoding_cot4_scale,cot_data[[#This Row],[objective_index]]))</f>
        <v/>
      </c>
      <c r="O21" s="217" t="str" cm="1">
        <f t="array" ref="O21">IF(cot_data[[#This Row],[objective_index]]="","",INDEX(encoding_cot_ave,cot_data[[#This Row],[objective_index]]))</f>
        <v/>
      </c>
    </row>
    <row r="22" spans="1:15" x14ac:dyDescent="0.25">
      <c r="A22" t="str" cm="1">
        <f t="array" ref="A22">IF(cot_data[[#This Row],[objective_index]]="","",demographics[uniquepersonnelid])</f>
        <v/>
      </c>
      <c r="B22" t="str">
        <f>IF(cot_data[[#This Row],[objective_index]]="","","SY "&amp;sy_start&amp;"-"&amp;sy_end)</f>
        <v/>
      </c>
      <c r="C22" t="str">
        <f>IF(cot_data[[#This Row],[objective_index]]="","",career_stage)</f>
        <v/>
      </c>
      <c r="D22" t="str">
        <f>IF(cot_data[[#This Row],[objective_index]]="","",teacher_type)</f>
        <v/>
      </c>
      <c r="E22" t="str" cm="1">
        <f t="array" ref="E22">IFERROR(SMALL(IF((INDEX(COT_helper,,)),MATCH(ROW(COT_helper),ROW(COT_helper)),""),ROW(cot_data[[#This Row],[uniquepersonnelid]])-1),"")</f>
        <v/>
      </c>
      <c r="F22" t="str" cm="1">
        <f t="array" ref="F22">IF(cot_data[[#This Row],[objective_index]]="","",INDEX(coi_ncoi_select,cot_data[[#This Row],[objective_index]],1))</f>
        <v/>
      </c>
      <c r="G22" s="50" t="str" cm="1">
        <f t="array" ref="G22">IF(OR(cot_data[[#This Row],[objective_index]]="",required_cot&lt;1),"",IF(INDEX(encoding_COT1_ratings,cot_data[[#This Row],[objective_index]])="","",INDEX(encoding_COT1_ratings,cot_data[[#This Row],[objective_index]])))</f>
        <v/>
      </c>
      <c r="H22" s="50" t="str" cm="1">
        <f t="array" ref="H22">IF(OR(cot_data[[#This Row],[objective_index]]="",required_cot&lt;2),"",IF(INDEX(encoding_COT2_ratings,cot_data[[#This Row],[objective_index]])="","",INDEX(encoding_COT2_ratings,cot_data[[#This Row],[objective_index]])))</f>
        <v/>
      </c>
      <c r="I22" s="50" t="str" cm="1">
        <f t="array" ref="I22">IF(OR(cot_data[[#This Row],[objective_index]]="",required_cot&lt;3),"",IF(INDEX(encoding_COT3_ratings,cot_data[[#This Row],[objective_index]])="","",INDEX(encoding_COT3_ratings,cot_data[[#This Row],[objective_index]])))</f>
        <v/>
      </c>
      <c r="J22" s="50" t="str" cm="1">
        <f t="array" ref="J22">IF(OR(cot_data[[#This Row],[objective_index]]="",required_cot&lt;4),"",IF(INDEX(encoding_COT4_ratings,cot_data[[#This Row],[objective_index]])="","",INDEX(encoding_COT4_ratings,cot_data[[#This Row],[objective_index]])))</f>
        <v/>
      </c>
      <c r="K22" s="50" t="str" cm="1">
        <f t="array" ref="K22">IF(cot_data[[#This Row],[objective_index]]="","",INDEX(encoding_cot1_scale,cot_data[[#This Row],[objective_index]]))</f>
        <v/>
      </c>
      <c r="L22" s="50" t="str" cm="1">
        <f t="array" ref="L22">IF(cot_data[[#This Row],[objective_index]]="","",INDEX(encoding_cot2_scale,cot_data[[#This Row],[objective_index]]))</f>
        <v/>
      </c>
      <c r="M22" s="50" t="str" cm="1">
        <f t="array" ref="M22">IF(cot_data[[#This Row],[objective_index]]="","",INDEX(encoding_cot3_scale,cot_data[[#This Row],[objective_index]]))</f>
        <v/>
      </c>
      <c r="N22" s="50" t="str" cm="1">
        <f t="array" ref="N22">IF(cot_data[[#This Row],[objective_index]]="","",INDEX(encoding_cot4_scale,cot_data[[#This Row],[objective_index]]))</f>
        <v/>
      </c>
      <c r="O22" s="217" t="str" cm="1">
        <f t="array" ref="O22">IF(cot_data[[#This Row],[objective_index]]="","",INDEX(encoding_cot_ave,cot_data[[#This Row],[objective_index]]))</f>
        <v/>
      </c>
    </row>
    <row r="23" spans="1:15" x14ac:dyDescent="0.25">
      <c r="A23" t="str" cm="1">
        <f t="array" ref="A23">IF(cot_data[[#This Row],[objective_index]]="","",demographics[uniquepersonnelid])</f>
        <v/>
      </c>
      <c r="B23" t="str">
        <f>IF(cot_data[[#This Row],[objective_index]]="","","SY "&amp;sy_start&amp;"-"&amp;sy_end)</f>
        <v/>
      </c>
      <c r="C23" t="str">
        <f>IF(cot_data[[#This Row],[objective_index]]="","",career_stage)</f>
        <v/>
      </c>
      <c r="D23" t="str">
        <f>IF(cot_data[[#This Row],[objective_index]]="","",teacher_type)</f>
        <v/>
      </c>
      <c r="E23" t="str" cm="1">
        <f t="array" ref="E23">IFERROR(SMALL(IF((INDEX(COT_helper,,)),MATCH(ROW(COT_helper),ROW(COT_helper)),""),ROW(cot_data[[#This Row],[uniquepersonnelid]])-1),"")</f>
        <v/>
      </c>
      <c r="F23" t="str" cm="1">
        <f t="array" ref="F23">IF(cot_data[[#This Row],[objective_index]]="","",INDEX(coi_ncoi_select,cot_data[[#This Row],[objective_index]],1))</f>
        <v/>
      </c>
      <c r="G23" s="50" t="str" cm="1">
        <f t="array" ref="G23">IF(OR(cot_data[[#This Row],[objective_index]]="",required_cot&lt;1),"",IF(INDEX(encoding_COT1_ratings,cot_data[[#This Row],[objective_index]])="","",INDEX(encoding_COT1_ratings,cot_data[[#This Row],[objective_index]])))</f>
        <v/>
      </c>
      <c r="H23" s="50" t="str" cm="1">
        <f t="array" ref="H23">IF(OR(cot_data[[#This Row],[objective_index]]="",required_cot&lt;2),"",IF(INDEX(encoding_COT2_ratings,cot_data[[#This Row],[objective_index]])="","",INDEX(encoding_COT2_ratings,cot_data[[#This Row],[objective_index]])))</f>
        <v/>
      </c>
      <c r="I23" s="50" t="str" cm="1">
        <f t="array" ref="I23">IF(OR(cot_data[[#This Row],[objective_index]]="",required_cot&lt;3),"",IF(INDEX(encoding_COT3_ratings,cot_data[[#This Row],[objective_index]])="","",INDEX(encoding_COT3_ratings,cot_data[[#This Row],[objective_index]])))</f>
        <v/>
      </c>
      <c r="J23" s="50" t="str" cm="1">
        <f t="array" ref="J23">IF(OR(cot_data[[#This Row],[objective_index]]="",required_cot&lt;4),"",IF(INDEX(encoding_COT4_ratings,cot_data[[#This Row],[objective_index]])="","",INDEX(encoding_COT4_ratings,cot_data[[#This Row],[objective_index]])))</f>
        <v/>
      </c>
      <c r="K23" s="50" t="str" cm="1">
        <f t="array" ref="K23">IF(cot_data[[#This Row],[objective_index]]="","",INDEX(encoding_cot1_scale,cot_data[[#This Row],[objective_index]]))</f>
        <v/>
      </c>
      <c r="L23" s="50" t="str" cm="1">
        <f t="array" ref="L23">IF(cot_data[[#This Row],[objective_index]]="","",INDEX(encoding_cot2_scale,cot_data[[#This Row],[objective_index]]))</f>
        <v/>
      </c>
      <c r="M23" s="50" t="str" cm="1">
        <f t="array" ref="M23">IF(cot_data[[#This Row],[objective_index]]="","",INDEX(encoding_cot3_scale,cot_data[[#This Row],[objective_index]]))</f>
        <v/>
      </c>
      <c r="N23" s="50" t="str" cm="1">
        <f t="array" ref="N23">IF(cot_data[[#This Row],[objective_index]]="","",INDEX(encoding_cot4_scale,cot_data[[#This Row],[objective_index]]))</f>
        <v/>
      </c>
      <c r="O23" s="217" t="str" cm="1">
        <f t="array" ref="O23">IF(cot_data[[#This Row],[objective_index]]="","",INDEX(encoding_cot_ave,cot_data[[#This Row],[objective_index]]))</f>
        <v/>
      </c>
    </row>
    <row r="24" spans="1:15" x14ac:dyDescent="0.25">
      <c r="A24" t="str" cm="1">
        <f t="array" ref="A24">IF(cot_data[[#This Row],[objective_index]]="","",demographics[uniquepersonnelid])</f>
        <v/>
      </c>
      <c r="B24" t="str">
        <f>IF(cot_data[[#This Row],[objective_index]]="","","SY "&amp;sy_start&amp;"-"&amp;sy_end)</f>
        <v/>
      </c>
      <c r="C24" t="str">
        <f>IF(cot_data[[#This Row],[objective_index]]="","",career_stage)</f>
        <v/>
      </c>
      <c r="D24" t="str">
        <f>IF(cot_data[[#This Row],[objective_index]]="","",teacher_type)</f>
        <v/>
      </c>
      <c r="E24" t="str" cm="1">
        <f t="array" ref="E24">IFERROR(SMALL(IF((INDEX(COT_helper,,)),MATCH(ROW(COT_helper),ROW(COT_helper)),""),ROW(cot_data[[#This Row],[uniquepersonnelid]])-1),"")</f>
        <v/>
      </c>
      <c r="F24" t="str" cm="1">
        <f t="array" ref="F24">IF(cot_data[[#This Row],[objective_index]]="","",INDEX(coi_ncoi_select,cot_data[[#This Row],[objective_index]],1))</f>
        <v/>
      </c>
      <c r="G24" s="50" t="str" cm="1">
        <f t="array" ref="G24">IF(OR(cot_data[[#This Row],[objective_index]]="",required_cot&lt;1),"",IF(INDEX(encoding_COT1_ratings,cot_data[[#This Row],[objective_index]])="","",INDEX(encoding_COT1_ratings,cot_data[[#This Row],[objective_index]])))</f>
        <v/>
      </c>
      <c r="H24" s="50" t="str" cm="1">
        <f t="array" ref="H24">IF(OR(cot_data[[#This Row],[objective_index]]="",required_cot&lt;2),"",IF(INDEX(encoding_COT2_ratings,cot_data[[#This Row],[objective_index]])="","",INDEX(encoding_COT2_ratings,cot_data[[#This Row],[objective_index]])))</f>
        <v/>
      </c>
      <c r="I24" s="50" t="str" cm="1">
        <f t="array" ref="I24">IF(OR(cot_data[[#This Row],[objective_index]]="",required_cot&lt;3),"",IF(INDEX(encoding_COT3_ratings,cot_data[[#This Row],[objective_index]])="","",INDEX(encoding_COT3_ratings,cot_data[[#This Row],[objective_index]])))</f>
        <v/>
      </c>
      <c r="J24" s="50" t="str" cm="1">
        <f t="array" ref="J24">IF(OR(cot_data[[#This Row],[objective_index]]="",required_cot&lt;4),"",IF(INDEX(encoding_COT4_ratings,cot_data[[#This Row],[objective_index]])="","",INDEX(encoding_COT4_ratings,cot_data[[#This Row],[objective_index]])))</f>
        <v/>
      </c>
      <c r="K24" s="50" t="str" cm="1">
        <f t="array" ref="K24">IF(cot_data[[#This Row],[objective_index]]="","",INDEX(encoding_cot1_scale,cot_data[[#This Row],[objective_index]]))</f>
        <v/>
      </c>
      <c r="L24" s="50" t="str" cm="1">
        <f t="array" ref="L24">IF(cot_data[[#This Row],[objective_index]]="","",INDEX(encoding_cot2_scale,cot_data[[#This Row],[objective_index]]))</f>
        <v/>
      </c>
      <c r="M24" s="50" t="str" cm="1">
        <f t="array" ref="M24">IF(cot_data[[#This Row],[objective_index]]="","",INDEX(encoding_cot3_scale,cot_data[[#This Row],[objective_index]]))</f>
        <v/>
      </c>
      <c r="N24" s="50" t="str" cm="1">
        <f t="array" ref="N24">IF(cot_data[[#This Row],[objective_index]]="","",INDEX(encoding_cot4_scale,cot_data[[#This Row],[objective_index]]))</f>
        <v/>
      </c>
      <c r="O24" s="217" t="str" cm="1">
        <f t="array" ref="O24">IF(cot_data[[#This Row],[objective_index]]="","",INDEX(encoding_cot_ave,cot_data[[#This Row],[objective_index]]))</f>
        <v/>
      </c>
    </row>
    <row r="25" spans="1:15" x14ac:dyDescent="0.25">
      <c r="A25" t="str" cm="1">
        <f t="array" ref="A25">IF(cot_data[[#This Row],[objective_index]]="","",demographics[uniquepersonnelid])</f>
        <v/>
      </c>
      <c r="B25" t="str">
        <f>IF(cot_data[[#This Row],[objective_index]]="","","SY "&amp;sy_start&amp;"-"&amp;sy_end)</f>
        <v/>
      </c>
      <c r="C25" t="str">
        <f>IF(cot_data[[#This Row],[objective_index]]="","",career_stage)</f>
        <v/>
      </c>
      <c r="D25" t="str">
        <f>IF(cot_data[[#This Row],[objective_index]]="","",teacher_type)</f>
        <v/>
      </c>
      <c r="E25" t="str" cm="1">
        <f t="array" ref="E25">IFERROR(SMALL(IF((INDEX(COT_helper,,)),MATCH(ROW(COT_helper),ROW(COT_helper)),""),ROW(cot_data[[#This Row],[uniquepersonnelid]])-1),"")</f>
        <v/>
      </c>
      <c r="F25" t="str" cm="1">
        <f t="array" ref="F25">IF(cot_data[[#This Row],[objective_index]]="","",INDEX(coi_ncoi_select,cot_data[[#This Row],[objective_index]],1))</f>
        <v/>
      </c>
      <c r="G25" s="50" t="str" cm="1">
        <f t="array" ref="G25">IF(OR(cot_data[[#This Row],[objective_index]]="",required_cot&lt;1),"",IF(INDEX(encoding_COT1_ratings,cot_data[[#This Row],[objective_index]])="","",INDEX(encoding_COT1_ratings,cot_data[[#This Row],[objective_index]])))</f>
        <v/>
      </c>
      <c r="H25" s="50" t="str" cm="1">
        <f t="array" ref="H25">IF(OR(cot_data[[#This Row],[objective_index]]="",required_cot&lt;2),"",IF(INDEX(encoding_COT2_ratings,cot_data[[#This Row],[objective_index]])="","",INDEX(encoding_COT2_ratings,cot_data[[#This Row],[objective_index]])))</f>
        <v/>
      </c>
      <c r="I25" s="50" t="str" cm="1">
        <f t="array" ref="I25">IF(OR(cot_data[[#This Row],[objective_index]]="",required_cot&lt;3),"",IF(INDEX(encoding_COT3_ratings,cot_data[[#This Row],[objective_index]])="","",INDEX(encoding_COT3_ratings,cot_data[[#This Row],[objective_index]])))</f>
        <v/>
      </c>
      <c r="J25" s="50" t="str" cm="1">
        <f t="array" ref="J25">IF(OR(cot_data[[#This Row],[objective_index]]="",required_cot&lt;4),"",IF(INDEX(encoding_COT4_ratings,cot_data[[#This Row],[objective_index]])="","",INDEX(encoding_COT4_ratings,cot_data[[#This Row],[objective_index]])))</f>
        <v/>
      </c>
      <c r="K25" s="50" t="str" cm="1">
        <f t="array" ref="K25">IF(cot_data[[#This Row],[objective_index]]="","",INDEX(encoding_cot1_scale,cot_data[[#This Row],[objective_index]]))</f>
        <v/>
      </c>
      <c r="L25" s="50" t="str" cm="1">
        <f t="array" ref="L25">IF(cot_data[[#This Row],[objective_index]]="","",INDEX(encoding_cot2_scale,cot_data[[#This Row],[objective_index]]))</f>
        <v/>
      </c>
      <c r="M25" s="50" t="str" cm="1">
        <f t="array" ref="M25">IF(cot_data[[#This Row],[objective_index]]="","",INDEX(encoding_cot3_scale,cot_data[[#This Row],[objective_index]]))</f>
        <v/>
      </c>
      <c r="N25" s="50" t="str" cm="1">
        <f t="array" ref="N25">IF(cot_data[[#This Row],[objective_index]]="","",INDEX(encoding_cot4_scale,cot_data[[#This Row],[objective_index]]))</f>
        <v/>
      </c>
      <c r="O25" s="217" t="str" cm="1">
        <f t="array" ref="O25">IF(cot_data[[#This Row],[objective_index]]="","",INDEX(encoding_cot_ave,cot_data[[#This Row],[objective_index]]))</f>
        <v/>
      </c>
    </row>
    <row r="26" spans="1:15" x14ac:dyDescent="0.25">
      <c r="A26" t="str" cm="1">
        <f t="array" ref="A26">IF(cot_data[[#This Row],[objective_index]]="","",demographics[uniquepersonnelid])</f>
        <v/>
      </c>
      <c r="B26" t="str">
        <f>IF(cot_data[[#This Row],[objective_index]]="","","SY "&amp;sy_start&amp;"-"&amp;sy_end)</f>
        <v/>
      </c>
      <c r="C26" t="str">
        <f>IF(cot_data[[#This Row],[objective_index]]="","",career_stage)</f>
        <v/>
      </c>
      <c r="D26" t="str">
        <f>IF(cot_data[[#This Row],[objective_index]]="","",teacher_type)</f>
        <v/>
      </c>
      <c r="E26" t="str" cm="1">
        <f t="array" ref="E26">IFERROR(SMALL(IF((INDEX(COT_helper,,)),MATCH(ROW(COT_helper),ROW(COT_helper)),""),ROW(cot_data[[#This Row],[uniquepersonnelid]])-1),"")</f>
        <v/>
      </c>
      <c r="F26" t="str" cm="1">
        <f t="array" ref="F26">IF(cot_data[[#This Row],[objective_index]]="","",INDEX(coi_ncoi_select,cot_data[[#This Row],[objective_index]],1))</f>
        <v/>
      </c>
      <c r="G26" s="50" t="str" cm="1">
        <f t="array" ref="G26">IF(OR(cot_data[[#This Row],[objective_index]]="",required_cot&lt;1),"",IF(INDEX(encoding_COT1_ratings,cot_data[[#This Row],[objective_index]])="","",INDEX(encoding_COT1_ratings,cot_data[[#This Row],[objective_index]])))</f>
        <v/>
      </c>
      <c r="H26" s="50" t="str" cm="1">
        <f t="array" ref="H26">IF(OR(cot_data[[#This Row],[objective_index]]="",required_cot&lt;2),"",IF(INDEX(encoding_COT2_ratings,cot_data[[#This Row],[objective_index]])="","",INDEX(encoding_COT2_ratings,cot_data[[#This Row],[objective_index]])))</f>
        <v/>
      </c>
      <c r="I26" s="50" t="str" cm="1">
        <f t="array" ref="I26">IF(OR(cot_data[[#This Row],[objective_index]]="",required_cot&lt;3),"",IF(INDEX(encoding_COT3_ratings,cot_data[[#This Row],[objective_index]])="","",INDEX(encoding_COT3_ratings,cot_data[[#This Row],[objective_index]])))</f>
        <v/>
      </c>
      <c r="J26" s="50" t="str" cm="1">
        <f t="array" ref="J26">IF(OR(cot_data[[#This Row],[objective_index]]="",required_cot&lt;4),"",IF(INDEX(encoding_COT4_ratings,cot_data[[#This Row],[objective_index]])="","",INDEX(encoding_COT4_ratings,cot_data[[#This Row],[objective_index]])))</f>
        <v/>
      </c>
      <c r="K26" s="50" t="str" cm="1">
        <f t="array" ref="K26">IF(cot_data[[#This Row],[objective_index]]="","",INDEX(encoding_cot1_scale,cot_data[[#This Row],[objective_index]]))</f>
        <v/>
      </c>
      <c r="L26" s="50" t="str" cm="1">
        <f t="array" ref="L26">IF(cot_data[[#This Row],[objective_index]]="","",INDEX(encoding_cot2_scale,cot_data[[#This Row],[objective_index]]))</f>
        <v/>
      </c>
      <c r="M26" s="50" t="str" cm="1">
        <f t="array" ref="M26">IF(cot_data[[#This Row],[objective_index]]="","",INDEX(encoding_cot3_scale,cot_data[[#This Row],[objective_index]]))</f>
        <v/>
      </c>
      <c r="N26" s="50" t="str" cm="1">
        <f t="array" ref="N26">IF(cot_data[[#This Row],[objective_index]]="","",INDEX(encoding_cot4_scale,cot_data[[#This Row],[objective_index]]))</f>
        <v/>
      </c>
      <c r="O26" s="217" t="str" cm="1">
        <f t="array" ref="O26">IF(cot_data[[#This Row],[objective_index]]="","",INDEX(encoding_cot_ave,cot_data[[#This Row],[objective_index]]))</f>
        <v/>
      </c>
    </row>
    <row r="27" spans="1:15" x14ac:dyDescent="0.25">
      <c r="A27" t="str" cm="1">
        <f t="array" ref="A27">IF(cot_data[[#This Row],[objective_index]]="","",demographics[uniquepersonnelid])</f>
        <v/>
      </c>
      <c r="B27" t="str">
        <f>IF(cot_data[[#This Row],[objective_index]]="","","SY "&amp;sy_start&amp;"-"&amp;sy_end)</f>
        <v/>
      </c>
      <c r="C27" t="str">
        <f>IF(cot_data[[#This Row],[objective_index]]="","",career_stage)</f>
        <v/>
      </c>
      <c r="D27" t="str">
        <f>IF(cot_data[[#This Row],[objective_index]]="","",teacher_type)</f>
        <v/>
      </c>
      <c r="E27" t="str" cm="1">
        <f t="array" ref="E27">IFERROR(SMALL(IF((INDEX(COT_helper,,)),MATCH(ROW(COT_helper),ROW(COT_helper)),""),ROW(cot_data[[#This Row],[uniquepersonnelid]])-1),"")</f>
        <v/>
      </c>
      <c r="F27" t="str" cm="1">
        <f t="array" ref="F27">IF(cot_data[[#This Row],[objective_index]]="","",INDEX(coi_ncoi_select,cot_data[[#This Row],[objective_index]],1))</f>
        <v/>
      </c>
      <c r="G27" s="50" t="str" cm="1">
        <f t="array" ref="G27">IF(OR(cot_data[[#This Row],[objective_index]]="",required_cot&lt;1),"",IF(INDEX(encoding_COT1_ratings,cot_data[[#This Row],[objective_index]])="","",INDEX(encoding_COT1_ratings,cot_data[[#This Row],[objective_index]])))</f>
        <v/>
      </c>
      <c r="H27" s="50" t="str" cm="1">
        <f t="array" ref="H27">IF(OR(cot_data[[#This Row],[objective_index]]="",required_cot&lt;2),"",IF(INDEX(encoding_COT2_ratings,cot_data[[#This Row],[objective_index]])="","",INDEX(encoding_COT2_ratings,cot_data[[#This Row],[objective_index]])))</f>
        <v/>
      </c>
      <c r="I27" s="50" t="str" cm="1">
        <f t="array" ref="I27">IF(OR(cot_data[[#This Row],[objective_index]]="",required_cot&lt;3),"",IF(INDEX(encoding_COT3_ratings,cot_data[[#This Row],[objective_index]])="","",INDEX(encoding_COT3_ratings,cot_data[[#This Row],[objective_index]])))</f>
        <v/>
      </c>
      <c r="J27" s="50" t="str" cm="1">
        <f t="array" ref="J27">IF(OR(cot_data[[#This Row],[objective_index]]="",required_cot&lt;4),"",IF(INDEX(encoding_COT4_ratings,cot_data[[#This Row],[objective_index]])="","",INDEX(encoding_COT4_ratings,cot_data[[#This Row],[objective_index]])))</f>
        <v/>
      </c>
      <c r="K27" s="50" t="str" cm="1">
        <f t="array" ref="K27">IF(cot_data[[#This Row],[objective_index]]="","",INDEX(encoding_cot1_scale,cot_data[[#This Row],[objective_index]]))</f>
        <v/>
      </c>
      <c r="L27" s="50" t="str" cm="1">
        <f t="array" ref="L27">IF(cot_data[[#This Row],[objective_index]]="","",INDEX(encoding_cot2_scale,cot_data[[#This Row],[objective_index]]))</f>
        <v/>
      </c>
      <c r="M27" s="50" t="str" cm="1">
        <f t="array" ref="M27">IF(cot_data[[#This Row],[objective_index]]="","",INDEX(encoding_cot3_scale,cot_data[[#This Row],[objective_index]]))</f>
        <v/>
      </c>
      <c r="N27" s="50" t="str" cm="1">
        <f t="array" ref="N27">IF(cot_data[[#This Row],[objective_index]]="","",INDEX(encoding_cot4_scale,cot_data[[#This Row],[objective_index]]))</f>
        <v/>
      </c>
      <c r="O27" s="217" t="str" cm="1">
        <f t="array" ref="O27">IF(cot_data[[#This Row],[objective_index]]="","",INDEX(encoding_cot_ave,cot_data[[#This Row],[objective_index]]))</f>
        <v/>
      </c>
    </row>
    <row r="28" spans="1:15" x14ac:dyDescent="0.25">
      <c r="A28" t="str" cm="1">
        <f t="array" ref="A28">IF(cot_data[[#This Row],[objective_index]]="","",demographics[uniquepersonnelid])</f>
        <v/>
      </c>
      <c r="B28" t="str">
        <f>IF(cot_data[[#This Row],[objective_index]]="","","SY "&amp;sy_start&amp;"-"&amp;sy_end)</f>
        <v/>
      </c>
      <c r="C28" t="str">
        <f>IF(cot_data[[#This Row],[objective_index]]="","",career_stage)</f>
        <v/>
      </c>
      <c r="D28" t="str">
        <f>IF(cot_data[[#This Row],[objective_index]]="","",teacher_type)</f>
        <v/>
      </c>
      <c r="E28" t="str" cm="1">
        <f t="array" ref="E28">IFERROR(SMALL(IF((INDEX(COT_helper,,)),MATCH(ROW(COT_helper),ROW(COT_helper)),""),ROW(cot_data[[#This Row],[uniquepersonnelid]])-1),"")</f>
        <v/>
      </c>
      <c r="F28" t="str" cm="1">
        <f t="array" ref="F28">IF(cot_data[[#This Row],[objective_index]]="","",INDEX(coi_ncoi_select,cot_data[[#This Row],[objective_index]],1))</f>
        <v/>
      </c>
      <c r="G28" s="50" t="str" cm="1">
        <f t="array" ref="G28">IF(OR(cot_data[[#This Row],[objective_index]]="",required_cot&lt;1),"",IF(INDEX(encoding_COT1_ratings,cot_data[[#This Row],[objective_index]])="","",INDEX(encoding_COT1_ratings,cot_data[[#This Row],[objective_index]])))</f>
        <v/>
      </c>
      <c r="H28" s="50" t="str" cm="1">
        <f t="array" ref="H28">IF(OR(cot_data[[#This Row],[objective_index]]="",required_cot&lt;2),"",IF(INDEX(encoding_COT2_ratings,cot_data[[#This Row],[objective_index]])="","",INDEX(encoding_COT2_ratings,cot_data[[#This Row],[objective_index]])))</f>
        <v/>
      </c>
      <c r="I28" s="50" t="str" cm="1">
        <f t="array" ref="I28">IF(OR(cot_data[[#This Row],[objective_index]]="",required_cot&lt;3),"",IF(INDEX(encoding_COT3_ratings,cot_data[[#This Row],[objective_index]])="","",INDEX(encoding_COT3_ratings,cot_data[[#This Row],[objective_index]])))</f>
        <v/>
      </c>
      <c r="J28" s="50" t="str" cm="1">
        <f t="array" ref="J28">IF(OR(cot_data[[#This Row],[objective_index]]="",required_cot&lt;4),"",IF(INDEX(encoding_COT4_ratings,cot_data[[#This Row],[objective_index]])="","",INDEX(encoding_COT4_ratings,cot_data[[#This Row],[objective_index]])))</f>
        <v/>
      </c>
      <c r="K28" s="50" t="str" cm="1">
        <f t="array" ref="K28">IF(cot_data[[#This Row],[objective_index]]="","",INDEX(encoding_cot1_scale,cot_data[[#This Row],[objective_index]]))</f>
        <v/>
      </c>
      <c r="L28" s="50" t="str" cm="1">
        <f t="array" ref="L28">IF(cot_data[[#This Row],[objective_index]]="","",INDEX(encoding_cot2_scale,cot_data[[#This Row],[objective_index]]))</f>
        <v/>
      </c>
      <c r="M28" s="50" t="str" cm="1">
        <f t="array" ref="M28">IF(cot_data[[#This Row],[objective_index]]="","",INDEX(encoding_cot3_scale,cot_data[[#This Row],[objective_index]]))</f>
        <v/>
      </c>
      <c r="N28" s="50" t="str" cm="1">
        <f t="array" ref="N28">IF(cot_data[[#This Row],[objective_index]]="","",INDEX(encoding_cot4_scale,cot_data[[#This Row],[objective_index]]))</f>
        <v/>
      </c>
      <c r="O28" s="217" t="str" cm="1">
        <f t="array" ref="O28">IF(cot_data[[#This Row],[objective_index]]="","",INDEX(encoding_cot_ave,cot_data[[#This Row],[objective_index]]))</f>
        <v/>
      </c>
    </row>
    <row r="29" spans="1:15" x14ac:dyDescent="0.25">
      <c r="A29" t="str" cm="1">
        <f t="array" ref="A29">IF(cot_data[[#This Row],[objective_index]]="","",demographics[uniquepersonnelid])</f>
        <v/>
      </c>
      <c r="B29" t="str">
        <f>IF(cot_data[[#This Row],[objective_index]]="","","SY "&amp;sy_start&amp;"-"&amp;sy_end)</f>
        <v/>
      </c>
      <c r="C29" t="str">
        <f>IF(cot_data[[#This Row],[objective_index]]="","",career_stage)</f>
        <v/>
      </c>
      <c r="D29" t="str">
        <f>IF(cot_data[[#This Row],[objective_index]]="","",teacher_type)</f>
        <v/>
      </c>
      <c r="E29" t="str" cm="1">
        <f t="array" ref="E29">IFERROR(SMALL(IF((INDEX(COT_helper,,)),MATCH(ROW(COT_helper),ROW(COT_helper)),""),ROW(cot_data[[#This Row],[uniquepersonnelid]])-1),"")</f>
        <v/>
      </c>
      <c r="F29" t="str" cm="1">
        <f t="array" ref="F29">IF(cot_data[[#This Row],[objective_index]]="","",INDEX(coi_ncoi_select,cot_data[[#This Row],[objective_index]],1))</f>
        <v/>
      </c>
      <c r="G29" s="50" t="str" cm="1">
        <f t="array" ref="G29">IF(OR(cot_data[[#This Row],[objective_index]]="",required_cot&lt;1),"",IF(INDEX(encoding_COT1_ratings,cot_data[[#This Row],[objective_index]])="","",INDEX(encoding_COT1_ratings,cot_data[[#This Row],[objective_index]])))</f>
        <v/>
      </c>
      <c r="H29" s="50" t="str" cm="1">
        <f t="array" ref="H29">IF(OR(cot_data[[#This Row],[objective_index]]="",required_cot&lt;2),"",IF(INDEX(encoding_COT2_ratings,cot_data[[#This Row],[objective_index]])="","",INDEX(encoding_COT2_ratings,cot_data[[#This Row],[objective_index]])))</f>
        <v/>
      </c>
      <c r="I29" s="50" t="str" cm="1">
        <f t="array" ref="I29">IF(OR(cot_data[[#This Row],[objective_index]]="",required_cot&lt;3),"",IF(INDEX(encoding_COT3_ratings,cot_data[[#This Row],[objective_index]])="","",INDEX(encoding_COT3_ratings,cot_data[[#This Row],[objective_index]])))</f>
        <v/>
      </c>
      <c r="J29" s="50" t="str" cm="1">
        <f t="array" ref="J29">IF(OR(cot_data[[#This Row],[objective_index]]="",required_cot&lt;4),"",IF(INDEX(encoding_COT4_ratings,cot_data[[#This Row],[objective_index]])="","",INDEX(encoding_COT4_ratings,cot_data[[#This Row],[objective_index]])))</f>
        <v/>
      </c>
      <c r="K29" s="50" t="str" cm="1">
        <f t="array" ref="K29">IF(cot_data[[#This Row],[objective_index]]="","",INDEX(encoding_cot1_scale,cot_data[[#This Row],[objective_index]]))</f>
        <v/>
      </c>
      <c r="L29" s="50" t="str" cm="1">
        <f t="array" ref="L29">IF(cot_data[[#This Row],[objective_index]]="","",INDEX(encoding_cot2_scale,cot_data[[#This Row],[objective_index]]))</f>
        <v/>
      </c>
      <c r="M29" s="50" t="str" cm="1">
        <f t="array" ref="M29">IF(cot_data[[#This Row],[objective_index]]="","",INDEX(encoding_cot3_scale,cot_data[[#This Row],[objective_index]]))</f>
        <v/>
      </c>
      <c r="N29" s="50" t="str" cm="1">
        <f t="array" ref="N29">IF(cot_data[[#This Row],[objective_index]]="","",INDEX(encoding_cot4_scale,cot_data[[#This Row],[objective_index]]))</f>
        <v/>
      </c>
      <c r="O29" s="217" t="str" cm="1">
        <f t="array" ref="O29">IF(cot_data[[#This Row],[objective_index]]="","",INDEX(encoding_cot_ave,cot_data[[#This Row],[objective_index]]))</f>
        <v/>
      </c>
    </row>
    <row r="30" spans="1:15" x14ac:dyDescent="0.25">
      <c r="A30" t="str" cm="1">
        <f t="array" ref="A30">IF(cot_data[[#This Row],[objective_index]]="","",demographics[uniquepersonnelid])</f>
        <v/>
      </c>
      <c r="B30" t="str">
        <f>IF(cot_data[[#This Row],[objective_index]]="","","SY "&amp;sy_start&amp;"-"&amp;sy_end)</f>
        <v/>
      </c>
      <c r="C30" t="str">
        <f>IF(cot_data[[#This Row],[objective_index]]="","",career_stage)</f>
        <v/>
      </c>
      <c r="D30" t="str">
        <f>IF(cot_data[[#This Row],[objective_index]]="","",teacher_type)</f>
        <v/>
      </c>
      <c r="E30" t="str" cm="1">
        <f t="array" ref="E30">IFERROR(SMALL(IF((INDEX(COT_helper,,)),MATCH(ROW(COT_helper),ROW(COT_helper)),""),ROW(cot_data[[#This Row],[uniquepersonnelid]])-1),"")</f>
        <v/>
      </c>
      <c r="F30" t="str" cm="1">
        <f t="array" ref="F30">IF(cot_data[[#This Row],[objective_index]]="","",INDEX(coi_ncoi_select,cot_data[[#This Row],[objective_index]],1))</f>
        <v/>
      </c>
      <c r="G30" s="50" t="str" cm="1">
        <f t="array" ref="G30">IF(OR(cot_data[[#This Row],[objective_index]]="",required_cot&lt;1),"",IF(INDEX(encoding_COT1_ratings,cot_data[[#This Row],[objective_index]])="","",INDEX(encoding_COT1_ratings,cot_data[[#This Row],[objective_index]])))</f>
        <v/>
      </c>
      <c r="H30" s="50" t="str" cm="1">
        <f t="array" ref="H30">IF(OR(cot_data[[#This Row],[objective_index]]="",required_cot&lt;2),"",IF(INDEX(encoding_COT2_ratings,cot_data[[#This Row],[objective_index]])="","",INDEX(encoding_COT2_ratings,cot_data[[#This Row],[objective_index]])))</f>
        <v/>
      </c>
      <c r="I30" s="50" t="str" cm="1">
        <f t="array" ref="I30">IF(OR(cot_data[[#This Row],[objective_index]]="",required_cot&lt;3),"",IF(INDEX(encoding_COT3_ratings,cot_data[[#This Row],[objective_index]])="","",INDEX(encoding_COT3_ratings,cot_data[[#This Row],[objective_index]])))</f>
        <v/>
      </c>
      <c r="J30" s="50" t="str" cm="1">
        <f t="array" ref="J30">IF(OR(cot_data[[#This Row],[objective_index]]="",required_cot&lt;4),"",IF(INDEX(encoding_COT4_ratings,cot_data[[#This Row],[objective_index]])="","",INDEX(encoding_COT4_ratings,cot_data[[#This Row],[objective_index]])))</f>
        <v/>
      </c>
      <c r="K30" s="50" t="str" cm="1">
        <f t="array" ref="K30">IF(cot_data[[#This Row],[objective_index]]="","",INDEX(encoding_cot1_scale,cot_data[[#This Row],[objective_index]]))</f>
        <v/>
      </c>
      <c r="L30" s="50" t="str" cm="1">
        <f t="array" ref="L30">IF(cot_data[[#This Row],[objective_index]]="","",INDEX(encoding_cot2_scale,cot_data[[#This Row],[objective_index]]))</f>
        <v/>
      </c>
      <c r="M30" s="50" t="str" cm="1">
        <f t="array" ref="M30">IF(cot_data[[#This Row],[objective_index]]="","",INDEX(encoding_cot3_scale,cot_data[[#This Row],[objective_index]]))</f>
        <v/>
      </c>
      <c r="N30" s="50" t="str" cm="1">
        <f t="array" ref="N30">IF(cot_data[[#This Row],[objective_index]]="","",INDEX(encoding_cot4_scale,cot_data[[#This Row],[objective_index]]))</f>
        <v/>
      </c>
      <c r="O30" s="217" t="str" cm="1">
        <f t="array" ref="O30">IF(cot_data[[#This Row],[objective_index]]="","",INDEX(encoding_cot_ave,cot_data[[#This Row],[objective_index]]))</f>
        <v/>
      </c>
    </row>
    <row r="31" spans="1:15" x14ac:dyDescent="0.25">
      <c r="A31" t="str" cm="1">
        <f t="array" ref="A31">IF(cot_data[[#This Row],[objective_index]]="","",demographics[uniquepersonnelid])</f>
        <v/>
      </c>
      <c r="B31" t="str">
        <f>IF(cot_data[[#This Row],[objective_index]]="","","SY "&amp;sy_start&amp;"-"&amp;sy_end)</f>
        <v/>
      </c>
      <c r="C31" t="str">
        <f>IF(cot_data[[#This Row],[objective_index]]="","",career_stage)</f>
        <v/>
      </c>
      <c r="D31" t="str">
        <f>IF(cot_data[[#This Row],[objective_index]]="","",teacher_type)</f>
        <v/>
      </c>
      <c r="E31" t="str" cm="1">
        <f t="array" ref="E31">IFERROR(SMALL(IF((INDEX(COT_helper,,)),MATCH(ROW(COT_helper),ROW(COT_helper)),""),ROW(cot_data[[#This Row],[uniquepersonnelid]])-1),"")</f>
        <v/>
      </c>
      <c r="F31" t="str" cm="1">
        <f t="array" ref="F31">IF(cot_data[[#This Row],[objective_index]]="","",INDEX(coi_ncoi_select,cot_data[[#This Row],[objective_index]],1))</f>
        <v/>
      </c>
      <c r="G31" s="50" t="str" cm="1">
        <f t="array" ref="G31">IF(OR(cot_data[[#This Row],[objective_index]]="",required_cot&lt;1),"",IF(INDEX(encoding_COT1_ratings,cot_data[[#This Row],[objective_index]])="","",INDEX(encoding_COT1_ratings,cot_data[[#This Row],[objective_index]])))</f>
        <v/>
      </c>
      <c r="H31" s="50" t="str" cm="1">
        <f t="array" ref="H31">IF(OR(cot_data[[#This Row],[objective_index]]="",required_cot&lt;2),"",IF(INDEX(encoding_COT2_ratings,cot_data[[#This Row],[objective_index]])="","",INDEX(encoding_COT2_ratings,cot_data[[#This Row],[objective_index]])))</f>
        <v/>
      </c>
      <c r="I31" s="50" t="str" cm="1">
        <f t="array" ref="I31">IF(OR(cot_data[[#This Row],[objective_index]]="",required_cot&lt;3),"",IF(INDEX(encoding_COT3_ratings,cot_data[[#This Row],[objective_index]])="","",INDEX(encoding_COT3_ratings,cot_data[[#This Row],[objective_index]])))</f>
        <v/>
      </c>
      <c r="J31" s="50" t="str" cm="1">
        <f t="array" ref="J31">IF(OR(cot_data[[#This Row],[objective_index]]="",required_cot&lt;4),"",IF(INDEX(encoding_COT4_ratings,cot_data[[#This Row],[objective_index]])="","",INDEX(encoding_COT4_ratings,cot_data[[#This Row],[objective_index]])))</f>
        <v/>
      </c>
      <c r="K31" s="50" t="str" cm="1">
        <f t="array" ref="K31">IF(cot_data[[#This Row],[objective_index]]="","",INDEX(encoding_cot1_scale,cot_data[[#This Row],[objective_index]]))</f>
        <v/>
      </c>
      <c r="L31" s="50" t="str" cm="1">
        <f t="array" ref="L31">IF(cot_data[[#This Row],[objective_index]]="","",INDEX(encoding_cot2_scale,cot_data[[#This Row],[objective_index]]))</f>
        <v/>
      </c>
      <c r="M31" s="50" t="str" cm="1">
        <f t="array" ref="M31">IF(cot_data[[#This Row],[objective_index]]="","",INDEX(encoding_cot3_scale,cot_data[[#This Row],[objective_index]]))</f>
        <v/>
      </c>
      <c r="N31" s="50" t="str" cm="1">
        <f t="array" ref="N31">IF(cot_data[[#This Row],[objective_index]]="","",INDEX(encoding_cot4_scale,cot_data[[#This Row],[objective_index]]))</f>
        <v/>
      </c>
      <c r="O31" s="217" t="str" cm="1">
        <f t="array" ref="O31">IF(cot_data[[#This Row],[objective_index]]="","",INDEX(encoding_cot_ave,cot_data[[#This Row],[objective_index]]))</f>
        <v/>
      </c>
    </row>
    <row r="32" spans="1:15" x14ac:dyDescent="0.25">
      <c r="A32" t="str" cm="1">
        <f t="array" ref="A32">IF(cot_data[[#This Row],[objective_index]]="","",demographics[uniquepersonnelid])</f>
        <v/>
      </c>
      <c r="B32" t="str">
        <f>IF(cot_data[[#This Row],[objective_index]]="","","SY "&amp;sy_start&amp;"-"&amp;sy_end)</f>
        <v/>
      </c>
      <c r="C32" t="str">
        <f>IF(cot_data[[#This Row],[objective_index]]="","",career_stage)</f>
        <v/>
      </c>
      <c r="D32" t="str">
        <f>IF(cot_data[[#This Row],[objective_index]]="","",teacher_type)</f>
        <v/>
      </c>
      <c r="E32" t="str" cm="1">
        <f t="array" ref="E32">IFERROR(SMALL(IF((INDEX(COT_helper,,)),MATCH(ROW(COT_helper),ROW(COT_helper)),""),ROW(cot_data[[#This Row],[uniquepersonnelid]])-1),"")</f>
        <v/>
      </c>
      <c r="F32" t="str" cm="1">
        <f t="array" ref="F32">IF(cot_data[[#This Row],[objective_index]]="","",INDEX(coi_ncoi_select,cot_data[[#This Row],[objective_index]],1))</f>
        <v/>
      </c>
      <c r="G32" s="50" t="str" cm="1">
        <f t="array" ref="G32">IF(OR(cot_data[[#This Row],[objective_index]]="",required_cot&lt;1),"",IF(INDEX(encoding_COT1_ratings,cot_data[[#This Row],[objective_index]])="","",INDEX(encoding_COT1_ratings,cot_data[[#This Row],[objective_index]])))</f>
        <v/>
      </c>
      <c r="H32" s="50" t="str" cm="1">
        <f t="array" ref="H32">IF(OR(cot_data[[#This Row],[objective_index]]="",required_cot&lt;2),"",IF(INDEX(encoding_COT2_ratings,cot_data[[#This Row],[objective_index]])="","",INDEX(encoding_COT2_ratings,cot_data[[#This Row],[objective_index]])))</f>
        <v/>
      </c>
      <c r="I32" s="50" t="str" cm="1">
        <f t="array" ref="I32">IF(OR(cot_data[[#This Row],[objective_index]]="",required_cot&lt;3),"",IF(INDEX(encoding_COT3_ratings,cot_data[[#This Row],[objective_index]])="","",INDEX(encoding_COT3_ratings,cot_data[[#This Row],[objective_index]])))</f>
        <v/>
      </c>
      <c r="J32" s="50" t="str" cm="1">
        <f t="array" ref="J32">IF(OR(cot_data[[#This Row],[objective_index]]="",required_cot&lt;4),"",IF(INDEX(encoding_COT4_ratings,cot_data[[#This Row],[objective_index]])="","",INDEX(encoding_COT4_ratings,cot_data[[#This Row],[objective_index]])))</f>
        <v/>
      </c>
      <c r="K32" s="50" t="str" cm="1">
        <f t="array" ref="K32">IF(cot_data[[#This Row],[objective_index]]="","",INDEX(encoding_cot1_scale,cot_data[[#This Row],[objective_index]]))</f>
        <v/>
      </c>
      <c r="L32" s="50" t="str" cm="1">
        <f t="array" ref="L32">IF(cot_data[[#This Row],[objective_index]]="","",INDEX(encoding_cot2_scale,cot_data[[#This Row],[objective_index]]))</f>
        <v/>
      </c>
      <c r="M32" s="50" t="str" cm="1">
        <f t="array" ref="M32">IF(cot_data[[#This Row],[objective_index]]="","",INDEX(encoding_cot3_scale,cot_data[[#This Row],[objective_index]]))</f>
        <v/>
      </c>
      <c r="N32" s="50" t="str" cm="1">
        <f t="array" ref="N32">IF(cot_data[[#This Row],[objective_index]]="","",INDEX(encoding_cot4_scale,cot_data[[#This Row],[objective_index]]))</f>
        <v/>
      </c>
      <c r="O32" s="217" t="str" cm="1">
        <f t="array" ref="O32">IF(cot_data[[#This Row],[objective_index]]="","",INDEX(encoding_cot_ave,cot_data[[#This Row],[objective_index]]))</f>
        <v/>
      </c>
    </row>
    <row r="33" spans="1:15" x14ac:dyDescent="0.25">
      <c r="A33" t="str" cm="1">
        <f t="array" ref="A33">IF(cot_data[[#This Row],[objective_index]]="","",demographics[uniquepersonnelid])</f>
        <v/>
      </c>
      <c r="B33" t="str">
        <f>IF(cot_data[[#This Row],[objective_index]]="","","SY "&amp;sy_start&amp;"-"&amp;sy_end)</f>
        <v/>
      </c>
      <c r="C33" t="str">
        <f>IF(cot_data[[#This Row],[objective_index]]="","",career_stage)</f>
        <v/>
      </c>
      <c r="D33" t="str">
        <f>IF(cot_data[[#This Row],[objective_index]]="","",teacher_type)</f>
        <v/>
      </c>
      <c r="E33" t="str" cm="1">
        <f t="array" ref="E33">IFERROR(SMALL(IF((INDEX(COT_helper,,)),MATCH(ROW(COT_helper),ROW(COT_helper)),""),ROW(cot_data[[#This Row],[uniquepersonnelid]])-1),"")</f>
        <v/>
      </c>
      <c r="F33" t="str" cm="1">
        <f t="array" ref="F33">IF(cot_data[[#This Row],[objective_index]]="","",INDEX(coi_ncoi_select,cot_data[[#This Row],[objective_index]],1))</f>
        <v/>
      </c>
      <c r="G33" s="50" t="str" cm="1">
        <f t="array" ref="G33">IF(OR(cot_data[[#This Row],[objective_index]]="",required_cot&lt;1),"",IF(INDEX(encoding_COT1_ratings,cot_data[[#This Row],[objective_index]])="","",INDEX(encoding_COT1_ratings,cot_data[[#This Row],[objective_index]])))</f>
        <v/>
      </c>
      <c r="H33" s="50" t="str" cm="1">
        <f t="array" ref="H33">IF(OR(cot_data[[#This Row],[objective_index]]="",required_cot&lt;2),"",IF(INDEX(encoding_COT2_ratings,cot_data[[#This Row],[objective_index]])="","",INDEX(encoding_COT2_ratings,cot_data[[#This Row],[objective_index]])))</f>
        <v/>
      </c>
      <c r="I33" s="50" t="str" cm="1">
        <f t="array" ref="I33">IF(OR(cot_data[[#This Row],[objective_index]]="",required_cot&lt;3),"",IF(INDEX(encoding_COT3_ratings,cot_data[[#This Row],[objective_index]])="","",INDEX(encoding_COT3_ratings,cot_data[[#This Row],[objective_index]])))</f>
        <v/>
      </c>
      <c r="J33" s="50" t="str" cm="1">
        <f t="array" ref="J33">IF(OR(cot_data[[#This Row],[objective_index]]="",required_cot&lt;4),"",IF(INDEX(encoding_COT4_ratings,cot_data[[#This Row],[objective_index]])="","",INDEX(encoding_COT4_ratings,cot_data[[#This Row],[objective_index]])))</f>
        <v/>
      </c>
      <c r="K33" s="50" t="str" cm="1">
        <f t="array" ref="K33">IF(cot_data[[#This Row],[objective_index]]="","",INDEX(encoding_cot1_scale,cot_data[[#This Row],[objective_index]]))</f>
        <v/>
      </c>
      <c r="L33" s="50" t="str" cm="1">
        <f t="array" ref="L33">IF(cot_data[[#This Row],[objective_index]]="","",INDEX(encoding_cot2_scale,cot_data[[#This Row],[objective_index]]))</f>
        <v/>
      </c>
      <c r="M33" s="50" t="str" cm="1">
        <f t="array" ref="M33">IF(cot_data[[#This Row],[objective_index]]="","",INDEX(encoding_cot3_scale,cot_data[[#This Row],[objective_index]]))</f>
        <v/>
      </c>
      <c r="N33" s="50" t="str" cm="1">
        <f t="array" ref="N33">IF(cot_data[[#This Row],[objective_index]]="","",INDEX(encoding_cot4_scale,cot_data[[#This Row],[objective_index]]))</f>
        <v/>
      </c>
      <c r="O33" s="217" t="str" cm="1">
        <f t="array" ref="O33">IF(cot_data[[#This Row],[objective_index]]="","",INDEX(encoding_cot_ave,cot_data[[#This Row],[objective_index]]))</f>
        <v/>
      </c>
    </row>
    <row r="34" spans="1:15" x14ac:dyDescent="0.25">
      <c r="A34" t="str" cm="1">
        <f t="array" ref="A34">IF(cot_data[[#This Row],[objective_index]]="","",demographics[uniquepersonnelid])</f>
        <v/>
      </c>
      <c r="B34" t="str">
        <f>IF(cot_data[[#This Row],[objective_index]]="","","SY "&amp;sy_start&amp;"-"&amp;sy_end)</f>
        <v/>
      </c>
      <c r="C34" t="str">
        <f>IF(cot_data[[#This Row],[objective_index]]="","",career_stage)</f>
        <v/>
      </c>
      <c r="D34" t="str">
        <f>IF(cot_data[[#This Row],[objective_index]]="","",teacher_type)</f>
        <v/>
      </c>
      <c r="E34" t="str" cm="1">
        <f t="array" ref="E34">IFERROR(SMALL(IF((INDEX(COT_helper,,)),MATCH(ROW(COT_helper),ROW(COT_helper)),""),ROW(cot_data[[#This Row],[uniquepersonnelid]])-1),"")</f>
        <v/>
      </c>
      <c r="F34" t="str" cm="1">
        <f t="array" ref="F34">IF(cot_data[[#This Row],[objective_index]]="","",INDEX(coi_ncoi_select,cot_data[[#This Row],[objective_index]],1))</f>
        <v/>
      </c>
      <c r="G34" s="50" t="str" cm="1">
        <f t="array" ref="G34">IF(OR(cot_data[[#This Row],[objective_index]]="",required_cot&lt;1),"",IF(INDEX(encoding_COT1_ratings,cot_data[[#This Row],[objective_index]])="","",INDEX(encoding_COT1_ratings,cot_data[[#This Row],[objective_index]])))</f>
        <v/>
      </c>
      <c r="H34" s="50" t="str" cm="1">
        <f t="array" ref="H34">IF(OR(cot_data[[#This Row],[objective_index]]="",required_cot&lt;2),"",IF(INDEX(encoding_COT2_ratings,cot_data[[#This Row],[objective_index]])="","",INDEX(encoding_COT2_ratings,cot_data[[#This Row],[objective_index]])))</f>
        <v/>
      </c>
      <c r="I34" s="50" t="str" cm="1">
        <f t="array" ref="I34">IF(OR(cot_data[[#This Row],[objective_index]]="",required_cot&lt;3),"",IF(INDEX(encoding_COT3_ratings,cot_data[[#This Row],[objective_index]])="","",INDEX(encoding_COT3_ratings,cot_data[[#This Row],[objective_index]])))</f>
        <v/>
      </c>
      <c r="J34" s="50" t="str" cm="1">
        <f t="array" ref="J34">IF(OR(cot_data[[#This Row],[objective_index]]="",required_cot&lt;4),"",IF(INDEX(encoding_COT4_ratings,cot_data[[#This Row],[objective_index]])="","",INDEX(encoding_COT4_ratings,cot_data[[#This Row],[objective_index]])))</f>
        <v/>
      </c>
      <c r="K34" s="50" t="str" cm="1">
        <f t="array" ref="K34">IF(cot_data[[#This Row],[objective_index]]="","",INDEX(encoding_cot1_scale,cot_data[[#This Row],[objective_index]]))</f>
        <v/>
      </c>
      <c r="L34" s="50" t="str" cm="1">
        <f t="array" ref="L34">IF(cot_data[[#This Row],[objective_index]]="","",INDEX(encoding_cot2_scale,cot_data[[#This Row],[objective_index]]))</f>
        <v/>
      </c>
      <c r="M34" s="50" t="str" cm="1">
        <f t="array" ref="M34">IF(cot_data[[#This Row],[objective_index]]="","",INDEX(encoding_cot3_scale,cot_data[[#This Row],[objective_index]]))</f>
        <v/>
      </c>
      <c r="N34" s="50" t="str" cm="1">
        <f t="array" ref="N34">IF(cot_data[[#This Row],[objective_index]]="","",INDEX(encoding_cot4_scale,cot_data[[#This Row],[objective_index]]))</f>
        <v/>
      </c>
      <c r="O34" s="217" t="str" cm="1">
        <f t="array" ref="O34">IF(cot_data[[#This Row],[objective_index]]="","",INDEX(encoding_cot_ave,cot_data[[#This Row],[objective_index]]))</f>
        <v/>
      </c>
    </row>
    <row r="35" spans="1:15" x14ac:dyDescent="0.25">
      <c r="A35" t="str" cm="1">
        <f t="array" ref="A35">IF(cot_data[[#This Row],[objective_index]]="","",demographics[uniquepersonnelid])</f>
        <v/>
      </c>
      <c r="B35" t="str">
        <f>IF(cot_data[[#This Row],[objective_index]]="","","SY "&amp;sy_start&amp;"-"&amp;sy_end)</f>
        <v/>
      </c>
      <c r="C35" t="str">
        <f>IF(cot_data[[#This Row],[objective_index]]="","",career_stage)</f>
        <v/>
      </c>
      <c r="D35" t="str">
        <f>IF(cot_data[[#This Row],[objective_index]]="","",teacher_type)</f>
        <v/>
      </c>
      <c r="E35" t="str" cm="1">
        <f t="array" ref="E35">IFERROR(SMALL(IF((INDEX(COT_helper,,)),MATCH(ROW(COT_helper),ROW(COT_helper)),""),ROW(cot_data[[#This Row],[uniquepersonnelid]])-1),"")</f>
        <v/>
      </c>
      <c r="F35" t="str" cm="1">
        <f t="array" ref="F35">IF(cot_data[[#This Row],[objective_index]]="","",INDEX(coi_ncoi_select,cot_data[[#This Row],[objective_index]],1))</f>
        <v/>
      </c>
      <c r="G35" s="50" t="str" cm="1">
        <f t="array" ref="G35">IF(OR(cot_data[[#This Row],[objective_index]]="",required_cot&lt;1),"",IF(INDEX(encoding_COT1_ratings,cot_data[[#This Row],[objective_index]])="","",INDEX(encoding_COT1_ratings,cot_data[[#This Row],[objective_index]])))</f>
        <v/>
      </c>
      <c r="H35" s="50" t="str" cm="1">
        <f t="array" ref="H35">IF(OR(cot_data[[#This Row],[objective_index]]="",required_cot&lt;2),"",IF(INDEX(encoding_COT2_ratings,cot_data[[#This Row],[objective_index]])="","",INDEX(encoding_COT2_ratings,cot_data[[#This Row],[objective_index]])))</f>
        <v/>
      </c>
      <c r="I35" s="50" t="str" cm="1">
        <f t="array" ref="I35">IF(OR(cot_data[[#This Row],[objective_index]]="",required_cot&lt;3),"",IF(INDEX(encoding_COT3_ratings,cot_data[[#This Row],[objective_index]])="","",INDEX(encoding_COT3_ratings,cot_data[[#This Row],[objective_index]])))</f>
        <v/>
      </c>
      <c r="J35" s="50" t="str" cm="1">
        <f t="array" ref="J35">IF(OR(cot_data[[#This Row],[objective_index]]="",required_cot&lt;4),"",IF(INDEX(encoding_COT4_ratings,cot_data[[#This Row],[objective_index]])="","",INDEX(encoding_COT4_ratings,cot_data[[#This Row],[objective_index]])))</f>
        <v/>
      </c>
      <c r="K35" s="50" t="str" cm="1">
        <f t="array" ref="K35">IF(cot_data[[#This Row],[objective_index]]="","",INDEX(encoding_cot1_scale,cot_data[[#This Row],[objective_index]]))</f>
        <v/>
      </c>
      <c r="L35" s="50" t="str" cm="1">
        <f t="array" ref="L35">IF(cot_data[[#This Row],[objective_index]]="","",INDEX(encoding_cot2_scale,cot_data[[#This Row],[objective_index]]))</f>
        <v/>
      </c>
      <c r="M35" s="50" t="str" cm="1">
        <f t="array" ref="M35">IF(cot_data[[#This Row],[objective_index]]="","",INDEX(encoding_cot3_scale,cot_data[[#This Row],[objective_index]]))</f>
        <v/>
      </c>
      <c r="N35" s="50" t="str" cm="1">
        <f t="array" ref="N35">IF(cot_data[[#This Row],[objective_index]]="","",INDEX(encoding_cot4_scale,cot_data[[#This Row],[objective_index]]))</f>
        <v/>
      </c>
      <c r="O35" s="217" t="str" cm="1">
        <f t="array" ref="O35">IF(cot_data[[#This Row],[objective_index]]="","",INDEX(encoding_cot_ave,cot_data[[#This Row],[objective_index]]))</f>
        <v/>
      </c>
    </row>
    <row r="36" spans="1:15" x14ac:dyDescent="0.25">
      <c r="A36" t="str" cm="1">
        <f t="array" ref="A36">IF(cot_data[[#This Row],[objective_index]]="","",demographics[uniquepersonnelid])</f>
        <v/>
      </c>
      <c r="B36" t="str">
        <f>IF(cot_data[[#This Row],[objective_index]]="","","SY "&amp;sy_start&amp;"-"&amp;sy_end)</f>
        <v/>
      </c>
      <c r="C36" t="str">
        <f>IF(cot_data[[#This Row],[objective_index]]="","",career_stage)</f>
        <v/>
      </c>
      <c r="D36" t="str">
        <f>IF(cot_data[[#This Row],[objective_index]]="","",teacher_type)</f>
        <v/>
      </c>
      <c r="E36" t="str" cm="1">
        <f t="array" ref="E36">IFERROR(SMALL(IF((INDEX(COT_helper,,)),MATCH(ROW(COT_helper),ROW(COT_helper)),""),ROW(cot_data[[#This Row],[uniquepersonnelid]])-1),"")</f>
        <v/>
      </c>
      <c r="F36" t="str" cm="1">
        <f t="array" ref="F36">IF(cot_data[[#This Row],[objective_index]]="","",INDEX(coi_ncoi_select,cot_data[[#This Row],[objective_index]],1))</f>
        <v/>
      </c>
      <c r="G36" s="50" t="str" cm="1">
        <f t="array" ref="G36">IF(OR(cot_data[[#This Row],[objective_index]]="",required_cot&lt;1),"",IF(INDEX(encoding_COT1_ratings,cot_data[[#This Row],[objective_index]])="","",INDEX(encoding_COT1_ratings,cot_data[[#This Row],[objective_index]])))</f>
        <v/>
      </c>
      <c r="H36" s="50" t="str" cm="1">
        <f t="array" ref="H36">IF(OR(cot_data[[#This Row],[objective_index]]="",required_cot&lt;2),"",IF(INDEX(encoding_COT2_ratings,cot_data[[#This Row],[objective_index]])="","",INDEX(encoding_COT2_ratings,cot_data[[#This Row],[objective_index]])))</f>
        <v/>
      </c>
      <c r="I36" s="50" t="str" cm="1">
        <f t="array" ref="I36">IF(OR(cot_data[[#This Row],[objective_index]]="",required_cot&lt;3),"",IF(INDEX(encoding_COT3_ratings,cot_data[[#This Row],[objective_index]])="","",INDEX(encoding_COT3_ratings,cot_data[[#This Row],[objective_index]])))</f>
        <v/>
      </c>
      <c r="J36" s="50" t="str" cm="1">
        <f t="array" ref="J36">IF(OR(cot_data[[#This Row],[objective_index]]="",required_cot&lt;4),"",IF(INDEX(encoding_COT4_ratings,cot_data[[#This Row],[objective_index]])="","",INDEX(encoding_COT4_ratings,cot_data[[#This Row],[objective_index]])))</f>
        <v/>
      </c>
      <c r="K36" s="50" t="str" cm="1">
        <f t="array" ref="K36">IF(cot_data[[#This Row],[objective_index]]="","",INDEX(encoding_cot1_scale,cot_data[[#This Row],[objective_index]]))</f>
        <v/>
      </c>
      <c r="L36" s="50" t="str" cm="1">
        <f t="array" ref="L36">IF(cot_data[[#This Row],[objective_index]]="","",INDEX(encoding_cot2_scale,cot_data[[#This Row],[objective_index]]))</f>
        <v/>
      </c>
      <c r="M36" s="50" t="str" cm="1">
        <f t="array" ref="M36">IF(cot_data[[#This Row],[objective_index]]="","",INDEX(encoding_cot3_scale,cot_data[[#This Row],[objective_index]]))</f>
        <v/>
      </c>
      <c r="N36" s="50" t="str" cm="1">
        <f t="array" ref="N36">IF(cot_data[[#This Row],[objective_index]]="","",INDEX(encoding_cot4_scale,cot_data[[#This Row],[objective_index]]))</f>
        <v/>
      </c>
      <c r="O36" s="217" t="str" cm="1">
        <f t="array" ref="O36">IF(cot_data[[#This Row],[objective_index]]="","",INDEX(encoding_cot_ave,cot_data[[#This Row],[objective_index]]))</f>
        <v/>
      </c>
    </row>
    <row r="37" spans="1:15" x14ac:dyDescent="0.25">
      <c r="A37" t="str" cm="1">
        <f t="array" ref="A37">IF(cot_data[[#This Row],[objective_index]]="","",demographics[uniquepersonnelid])</f>
        <v/>
      </c>
      <c r="B37" t="str">
        <f>IF(cot_data[[#This Row],[objective_index]]="","","SY "&amp;sy_start&amp;"-"&amp;sy_end)</f>
        <v/>
      </c>
      <c r="C37" t="str">
        <f>IF(cot_data[[#This Row],[objective_index]]="","",career_stage)</f>
        <v/>
      </c>
      <c r="D37" t="str">
        <f>IF(cot_data[[#This Row],[objective_index]]="","",teacher_type)</f>
        <v/>
      </c>
      <c r="E37" t="str" cm="1">
        <f t="array" ref="E37">IFERROR(SMALL(IF((INDEX(COT_helper,,)),MATCH(ROW(COT_helper),ROW(COT_helper)),""),ROW(cot_data[[#This Row],[uniquepersonnelid]])-1),"")</f>
        <v/>
      </c>
      <c r="F37" t="str" cm="1">
        <f t="array" ref="F37">IF(cot_data[[#This Row],[objective_index]]="","",INDEX(coi_ncoi_select,cot_data[[#This Row],[objective_index]],1))</f>
        <v/>
      </c>
      <c r="G37" s="50" t="str" cm="1">
        <f t="array" ref="G37">IF(OR(cot_data[[#This Row],[objective_index]]="",required_cot&lt;1),"",IF(INDEX(encoding_COT1_ratings,cot_data[[#This Row],[objective_index]])="","",INDEX(encoding_COT1_ratings,cot_data[[#This Row],[objective_index]])))</f>
        <v/>
      </c>
      <c r="H37" s="50" t="str" cm="1">
        <f t="array" ref="H37">IF(OR(cot_data[[#This Row],[objective_index]]="",required_cot&lt;2),"",IF(INDEX(encoding_COT2_ratings,cot_data[[#This Row],[objective_index]])="","",INDEX(encoding_COT2_ratings,cot_data[[#This Row],[objective_index]])))</f>
        <v/>
      </c>
      <c r="I37" s="50" t="str" cm="1">
        <f t="array" ref="I37">IF(OR(cot_data[[#This Row],[objective_index]]="",required_cot&lt;3),"",IF(INDEX(encoding_COT3_ratings,cot_data[[#This Row],[objective_index]])="","",INDEX(encoding_COT3_ratings,cot_data[[#This Row],[objective_index]])))</f>
        <v/>
      </c>
      <c r="J37" s="50" t="str" cm="1">
        <f t="array" ref="J37">IF(OR(cot_data[[#This Row],[objective_index]]="",required_cot&lt;4),"",IF(INDEX(encoding_COT4_ratings,cot_data[[#This Row],[objective_index]])="","",INDEX(encoding_COT4_ratings,cot_data[[#This Row],[objective_index]])))</f>
        <v/>
      </c>
      <c r="K37" s="50" t="str" cm="1">
        <f t="array" ref="K37">IF(cot_data[[#This Row],[objective_index]]="","",INDEX(encoding_cot1_scale,cot_data[[#This Row],[objective_index]]))</f>
        <v/>
      </c>
      <c r="L37" s="50" t="str" cm="1">
        <f t="array" ref="L37">IF(cot_data[[#This Row],[objective_index]]="","",INDEX(encoding_cot2_scale,cot_data[[#This Row],[objective_index]]))</f>
        <v/>
      </c>
      <c r="M37" s="50" t="str" cm="1">
        <f t="array" ref="M37">IF(cot_data[[#This Row],[objective_index]]="","",INDEX(encoding_cot3_scale,cot_data[[#This Row],[objective_index]]))</f>
        <v/>
      </c>
      <c r="N37" s="50" t="str" cm="1">
        <f t="array" ref="N37">IF(cot_data[[#This Row],[objective_index]]="","",INDEX(encoding_cot4_scale,cot_data[[#This Row],[objective_index]]))</f>
        <v/>
      </c>
      <c r="O37" s="217" t="str" cm="1">
        <f t="array" ref="O37">IF(cot_data[[#This Row],[objective_index]]="","",INDEX(encoding_cot_ave,cot_data[[#This Row],[objective_index]]))</f>
        <v/>
      </c>
    </row>
    <row r="38" spans="1:15" x14ac:dyDescent="0.25">
      <c r="A38" t="str" cm="1">
        <f t="array" ref="A38">IF(cot_data[[#This Row],[objective_index]]="","",demographics[uniquepersonnelid])</f>
        <v/>
      </c>
      <c r="B38" t="str">
        <f>IF(cot_data[[#This Row],[objective_index]]="","","SY "&amp;sy_start&amp;"-"&amp;sy_end)</f>
        <v/>
      </c>
      <c r="C38" t="str">
        <f>IF(cot_data[[#This Row],[objective_index]]="","",career_stage)</f>
        <v/>
      </c>
      <c r="D38" t="str">
        <f>IF(cot_data[[#This Row],[objective_index]]="","",teacher_type)</f>
        <v/>
      </c>
      <c r="E38" t="str" cm="1">
        <f t="array" ref="E38">IFERROR(SMALL(IF((INDEX(COT_helper,,)),MATCH(ROW(COT_helper),ROW(COT_helper)),""),ROW(cot_data[[#This Row],[uniquepersonnelid]])-1),"")</f>
        <v/>
      </c>
      <c r="F38" t="str" cm="1">
        <f t="array" ref="F38">IF(cot_data[[#This Row],[objective_index]]="","",INDEX(coi_ncoi_select,cot_data[[#This Row],[objective_index]],1))</f>
        <v/>
      </c>
      <c r="G38" s="50" t="str" cm="1">
        <f t="array" ref="G38">IF(OR(cot_data[[#This Row],[objective_index]]="",required_cot&lt;1),"",IF(INDEX(encoding_COT1_ratings,cot_data[[#This Row],[objective_index]])="","",INDEX(encoding_COT1_ratings,cot_data[[#This Row],[objective_index]])))</f>
        <v/>
      </c>
      <c r="H38" s="50" t="str" cm="1">
        <f t="array" ref="H38">IF(OR(cot_data[[#This Row],[objective_index]]="",required_cot&lt;2),"",IF(INDEX(encoding_COT2_ratings,cot_data[[#This Row],[objective_index]])="","",INDEX(encoding_COT2_ratings,cot_data[[#This Row],[objective_index]])))</f>
        <v/>
      </c>
      <c r="I38" s="50" t="str" cm="1">
        <f t="array" ref="I38">IF(OR(cot_data[[#This Row],[objective_index]]="",required_cot&lt;3),"",IF(INDEX(encoding_COT3_ratings,cot_data[[#This Row],[objective_index]])="","",INDEX(encoding_COT3_ratings,cot_data[[#This Row],[objective_index]])))</f>
        <v/>
      </c>
      <c r="J38" s="50" t="str" cm="1">
        <f t="array" ref="J38">IF(OR(cot_data[[#This Row],[objective_index]]="",required_cot&lt;4),"",IF(INDEX(encoding_COT4_ratings,cot_data[[#This Row],[objective_index]])="","",INDEX(encoding_COT4_ratings,cot_data[[#This Row],[objective_index]])))</f>
        <v/>
      </c>
      <c r="K38" s="50" t="str" cm="1">
        <f t="array" ref="K38">IF(cot_data[[#This Row],[objective_index]]="","",INDEX(encoding_cot1_scale,cot_data[[#This Row],[objective_index]]))</f>
        <v/>
      </c>
      <c r="L38" s="50" t="str" cm="1">
        <f t="array" ref="L38">IF(cot_data[[#This Row],[objective_index]]="","",INDEX(encoding_cot2_scale,cot_data[[#This Row],[objective_index]]))</f>
        <v/>
      </c>
      <c r="M38" s="50" t="str" cm="1">
        <f t="array" ref="M38">IF(cot_data[[#This Row],[objective_index]]="","",INDEX(encoding_cot3_scale,cot_data[[#This Row],[objective_index]]))</f>
        <v/>
      </c>
      <c r="N38" s="50" t="str" cm="1">
        <f t="array" ref="N38">IF(cot_data[[#This Row],[objective_index]]="","",INDEX(encoding_cot4_scale,cot_data[[#This Row],[objective_index]]))</f>
        <v/>
      </c>
      <c r="O38" s="217" t="str" cm="1">
        <f t="array" ref="O38">IF(cot_data[[#This Row],[objective_index]]="","",INDEX(encoding_cot_ave,cot_data[[#This Row],[objective_index]]))</f>
        <v/>
      </c>
    </row>
    <row r="39" spans="1:15" x14ac:dyDescent="0.25">
      <c r="A39" t="str" cm="1">
        <f t="array" ref="A39">IF(cot_data[[#This Row],[objective_index]]="","",demographics[uniquepersonnelid])</f>
        <v/>
      </c>
      <c r="B39" t="str">
        <f>IF(cot_data[[#This Row],[objective_index]]="","","SY "&amp;sy_start&amp;"-"&amp;sy_end)</f>
        <v/>
      </c>
      <c r="C39" t="str">
        <f>IF(cot_data[[#This Row],[objective_index]]="","",career_stage)</f>
        <v/>
      </c>
      <c r="D39" t="str">
        <f>IF(cot_data[[#This Row],[objective_index]]="","",teacher_type)</f>
        <v/>
      </c>
      <c r="E39" t="str" cm="1">
        <f t="array" ref="E39">IFERROR(SMALL(IF((INDEX(COT_helper,,)),MATCH(ROW(COT_helper),ROW(COT_helper)),""),ROW(cot_data[[#This Row],[uniquepersonnelid]])-1),"")</f>
        <v/>
      </c>
      <c r="F39" t="str" cm="1">
        <f t="array" ref="F39">IF(cot_data[[#This Row],[objective_index]]="","",INDEX(coi_ncoi_select,cot_data[[#This Row],[objective_index]],1))</f>
        <v/>
      </c>
      <c r="G39" s="50" t="str" cm="1">
        <f t="array" ref="G39">IF(OR(cot_data[[#This Row],[objective_index]]="",required_cot&lt;1),"",IF(INDEX(encoding_COT1_ratings,cot_data[[#This Row],[objective_index]])="","",INDEX(encoding_COT1_ratings,cot_data[[#This Row],[objective_index]])))</f>
        <v/>
      </c>
      <c r="H39" s="50" t="str" cm="1">
        <f t="array" ref="H39">IF(OR(cot_data[[#This Row],[objective_index]]="",required_cot&lt;2),"",IF(INDEX(encoding_COT2_ratings,cot_data[[#This Row],[objective_index]])="","",INDEX(encoding_COT2_ratings,cot_data[[#This Row],[objective_index]])))</f>
        <v/>
      </c>
      <c r="I39" s="50" t="str" cm="1">
        <f t="array" ref="I39">IF(OR(cot_data[[#This Row],[objective_index]]="",required_cot&lt;3),"",IF(INDEX(encoding_COT3_ratings,cot_data[[#This Row],[objective_index]])="","",INDEX(encoding_COT3_ratings,cot_data[[#This Row],[objective_index]])))</f>
        <v/>
      </c>
      <c r="J39" s="50" t="str" cm="1">
        <f t="array" ref="J39">IF(OR(cot_data[[#This Row],[objective_index]]="",required_cot&lt;4),"",IF(INDEX(encoding_COT4_ratings,cot_data[[#This Row],[objective_index]])="","",INDEX(encoding_COT4_ratings,cot_data[[#This Row],[objective_index]])))</f>
        <v/>
      </c>
      <c r="K39" s="50" t="str" cm="1">
        <f t="array" ref="K39">IF(cot_data[[#This Row],[objective_index]]="","",INDEX(encoding_cot1_scale,cot_data[[#This Row],[objective_index]]))</f>
        <v/>
      </c>
      <c r="L39" s="50" t="str" cm="1">
        <f t="array" ref="L39">IF(cot_data[[#This Row],[objective_index]]="","",INDEX(encoding_cot2_scale,cot_data[[#This Row],[objective_index]]))</f>
        <v/>
      </c>
      <c r="M39" s="50" t="str" cm="1">
        <f t="array" ref="M39">IF(cot_data[[#This Row],[objective_index]]="","",INDEX(encoding_cot3_scale,cot_data[[#This Row],[objective_index]]))</f>
        <v/>
      </c>
      <c r="N39" s="50" t="str" cm="1">
        <f t="array" ref="N39">IF(cot_data[[#This Row],[objective_index]]="","",INDEX(encoding_cot4_scale,cot_data[[#This Row],[objective_index]]))</f>
        <v/>
      </c>
      <c r="O39" s="217" t="str" cm="1">
        <f t="array" ref="O39">IF(cot_data[[#This Row],[objective_index]]="","",INDEX(encoding_cot_ave,cot_data[[#This Row],[objective_index]]))</f>
        <v/>
      </c>
    </row>
    <row r="40" spans="1:15" x14ac:dyDescent="0.25">
      <c r="A40" t="str" cm="1">
        <f t="array" ref="A40">IF(cot_data[[#This Row],[objective_index]]="","",demographics[uniquepersonnelid])</f>
        <v/>
      </c>
      <c r="B40" t="str">
        <f>IF(cot_data[[#This Row],[objective_index]]="","","SY "&amp;sy_start&amp;"-"&amp;sy_end)</f>
        <v/>
      </c>
      <c r="C40" t="str">
        <f>IF(cot_data[[#This Row],[objective_index]]="","",career_stage)</f>
        <v/>
      </c>
      <c r="D40" t="str">
        <f>IF(cot_data[[#This Row],[objective_index]]="","",teacher_type)</f>
        <v/>
      </c>
      <c r="E40" t="str" cm="1">
        <f t="array" ref="E40">IFERROR(SMALL(IF((INDEX(COT_helper,,)),MATCH(ROW(COT_helper),ROW(COT_helper)),""),ROW(cot_data[[#This Row],[uniquepersonnelid]])-1),"")</f>
        <v/>
      </c>
      <c r="F40" t="str" cm="1">
        <f t="array" ref="F40">IF(cot_data[[#This Row],[objective_index]]="","",INDEX(coi_ncoi_select,cot_data[[#This Row],[objective_index]],1))</f>
        <v/>
      </c>
      <c r="G40" s="50" t="str" cm="1">
        <f t="array" ref="G40">IF(OR(cot_data[[#This Row],[objective_index]]="",required_cot&lt;1),"",IF(INDEX(encoding_COT1_ratings,cot_data[[#This Row],[objective_index]])="","",INDEX(encoding_COT1_ratings,cot_data[[#This Row],[objective_index]])))</f>
        <v/>
      </c>
      <c r="H40" s="50" t="str" cm="1">
        <f t="array" ref="H40">IF(OR(cot_data[[#This Row],[objective_index]]="",required_cot&lt;2),"",IF(INDEX(encoding_COT2_ratings,cot_data[[#This Row],[objective_index]])="","",INDEX(encoding_COT2_ratings,cot_data[[#This Row],[objective_index]])))</f>
        <v/>
      </c>
      <c r="I40" s="50" t="str" cm="1">
        <f t="array" ref="I40">IF(OR(cot_data[[#This Row],[objective_index]]="",required_cot&lt;3),"",IF(INDEX(encoding_COT3_ratings,cot_data[[#This Row],[objective_index]])="","",INDEX(encoding_COT3_ratings,cot_data[[#This Row],[objective_index]])))</f>
        <v/>
      </c>
      <c r="J40" s="50" t="str" cm="1">
        <f t="array" ref="J40">IF(OR(cot_data[[#This Row],[objective_index]]="",required_cot&lt;4),"",IF(INDEX(encoding_COT4_ratings,cot_data[[#This Row],[objective_index]])="","",INDEX(encoding_COT4_ratings,cot_data[[#This Row],[objective_index]])))</f>
        <v/>
      </c>
      <c r="K40" s="50" t="str" cm="1">
        <f t="array" ref="K40">IF(cot_data[[#This Row],[objective_index]]="","",INDEX(encoding_cot1_scale,cot_data[[#This Row],[objective_index]]))</f>
        <v/>
      </c>
      <c r="L40" s="50" t="str" cm="1">
        <f t="array" ref="L40">IF(cot_data[[#This Row],[objective_index]]="","",INDEX(encoding_cot2_scale,cot_data[[#This Row],[objective_index]]))</f>
        <v/>
      </c>
      <c r="M40" s="50" t="str" cm="1">
        <f t="array" ref="M40">IF(cot_data[[#This Row],[objective_index]]="","",INDEX(encoding_cot3_scale,cot_data[[#This Row],[objective_index]]))</f>
        <v/>
      </c>
      <c r="N40" s="50" t="str" cm="1">
        <f t="array" ref="N40">IF(cot_data[[#This Row],[objective_index]]="","",INDEX(encoding_cot4_scale,cot_data[[#This Row],[objective_index]]))</f>
        <v/>
      </c>
      <c r="O40" s="217" t="str" cm="1">
        <f t="array" ref="O40">IF(cot_data[[#This Row],[objective_index]]="","",INDEX(encoding_cot_ave,cot_data[[#This Row],[objective_index]]))</f>
        <v/>
      </c>
    </row>
    <row r="41" spans="1:15" x14ac:dyDescent="0.25">
      <c r="A41" t="str" cm="1">
        <f t="array" ref="A41">IF(cot_data[[#This Row],[objective_index]]="","",demographics[uniquepersonnelid])</f>
        <v/>
      </c>
      <c r="B41" t="str">
        <f>IF(cot_data[[#This Row],[objective_index]]="","","SY "&amp;sy_start&amp;"-"&amp;sy_end)</f>
        <v/>
      </c>
      <c r="C41" t="str">
        <f>IF(cot_data[[#This Row],[objective_index]]="","",career_stage)</f>
        <v/>
      </c>
      <c r="D41" t="str">
        <f>IF(cot_data[[#This Row],[objective_index]]="","",teacher_type)</f>
        <v/>
      </c>
      <c r="E41" t="str" cm="1">
        <f t="array" ref="E41">IFERROR(SMALL(IF((INDEX(COT_helper,,)),MATCH(ROW(COT_helper),ROW(COT_helper)),""),ROW(cot_data[[#This Row],[uniquepersonnelid]])-1),"")</f>
        <v/>
      </c>
      <c r="F41" t="str" cm="1">
        <f t="array" ref="F41">IF(cot_data[[#This Row],[objective_index]]="","",INDEX(coi_ncoi_select,cot_data[[#This Row],[objective_index]],1))</f>
        <v/>
      </c>
      <c r="G41" s="50" t="str" cm="1">
        <f t="array" ref="G41">IF(OR(cot_data[[#This Row],[objective_index]]="",required_cot&lt;1),"",IF(INDEX(encoding_COT1_ratings,cot_data[[#This Row],[objective_index]])="","",INDEX(encoding_COT1_ratings,cot_data[[#This Row],[objective_index]])))</f>
        <v/>
      </c>
      <c r="H41" s="50" t="str" cm="1">
        <f t="array" ref="H41">IF(OR(cot_data[[#This Row],[objective_index]]="",required_cot&lt;2),"",IF(INDEX(encoding_COT2_ratings,cot_data[[#This Row],[objective_index]])="","",INDEX(encoding_COT2_ratings,cot_data[[#This Row],[objective_index]])))</f>
        <v/>
      </c>
      <c r="I41" s="50" t="str" cm="1">
        <f t="array" ref="I41">IF(OR(cot_data[[#This Row],[objective_index]]="",required_cot&lt;3),"",IF(INDEX(encoding_COT3_ratings,cot_data[[#This Row],[objective_index]])="","",INDEX(encoding_COT3_ratings,cot_data[[#This Row],[objective_index]])))</f>
        <v/>
      </c>
      <c r="J41" s="50" t="str" cm="1">
        <f t="array" ref="J41">IF(OR(cot_data[[#This Row],[objective_index]]="",required_cot&lt;4),"",IF(INDEX(encoding_COT4_ratings,cot_data[[#This Row],[objective_index]])="","",INDEX(encoding_COT4_ratings,cot_data[[#This Row],[objective_index]])))</f>
        <v/>
      </c>
      <c r="K41" s="50" t="str" cm="1">
        <f t="array" ref="K41">IF(cot_data[[#This Row],[objective_index]]="","",INDEX(encoding_cot1_scale,cot_data[[#This Row],[objective_index]]))</f>
        <v/>
      </c>
      <c r="L41" s="50" t="str" cm="1">
        <f t="array" ref="L41">IF(cot_data[[#This Row],[objective_index]]="","",INDEX(encoding_cot2_scale,cot_data[[#This Row],[objective_index]]))</f>
        <v/>
      </c>
      <c r="M41" s="50" t="str" cm="1">
        <f t="array" ref="M41">IF(cot_data[[#This Row],[objective_index]]="","",INDEX(encoding_cot3_scale,cot_data[[#This Row],[objective_index]]))</f>
        <v/>
      </c>
      <c r="N41" s="50" t="str" cm="1">
        <f t="array" ref="N41">IF(cot_data[[#This Row],[objective_index]]="","",INDEX(encoding_cot4_scale,cot_data[[#This Row],[objective_index]]))</f>
        <v/>
      </c>
      <c r="O41" s="217" t="str" cm="1">
        <f t="array" ref="O41">IF(cot_data[[#This Row],[objective_index]]="","",INDEX(encoding_cot_ave,cot_data[[#This Row],[objective_index]]))</f>
        <v/>
      </c>
    </row>
    <row r="42" spans="1:15" x14ac:dyDescent="0.25">
      <c r="A42" t="str" cm="1">
        <f t="array" ref="A42">IF(cot_data[[#This Row],[objective_index]]="","",demographics[uniquepersonnelid])</f>
        <v/>
      </c>
      <c r="B42" t="str">
        <f>IF(cot_data[[#This Row],[objective_index]]="","","SY "&amp;sy_start&amp;"-"&amp;sy_end)</f>
        <v/>
      </c>
      <c r="C42" t="str">
        <f>IF(cot_data[[#This Row],[objective_index]]="","",career_stage)</f>
        <v/>
      </c>
      <c r="D42" t="str">
        <f>IF(cot_data[[#This Row],[objective_index]]="","",teacher_type)</f>
        <v/>
      </c>
      <c r="E42" t="str" cm="1">
        <f t="array" ref="E42">IFERROR(SMALL(IF((INDEX(COT_helper,,)),MATCH(ROW(COT_helper),ROW(COT_helper)),""),ROW(cot_data[[#This Row],[uniquepersonnelid]])-1),"")</f>
        <v/>
      </c>
      <c r="F42" t="str" cm="1">
        <f t="array" ref="F42">IF(cot_data[[#This Row],[objective_index]]="","",INDEX(coi_ncoi_select,cot_data[[#This Row],[objective_index]],1))</f>
        <v/>
      </c>
      <c r="G42" s="50" t="str" cm="1">
        <f t="array" ref="G42">IF(OR(cot_data[[#This Row],[objective_index]]="",required_cot&lt;1),"",IF(INDEX(encoding_COT1_ratings,cot_data[[#This Row],[objective_index]])="","",INDEX(encoding_COT1_ratings,cot_data[[#This Row],[objective_index]])))</f>
        <v/>
      </c>
      <c r="H42" s="50" t="str" cm="1">
        <f t="array" ref="H42">IF(OR(cot_data[[#This Row],[objective_index]]="",required_cot&lt;2),"",IF(INDEX(encoding_COT2_ratings,cot_data[[#This Row],[objective_index]])="","",INDEX(encoding_COT2_ratings,cot_data[[#This Row],[objective_index]])))</f>
        <v/>
      </c>
      <c r="I42" s="50" t="str" cm="1">
        <f t="array" ref="I42">IF(OR(cot_data[[#This Row],[objective_index]]="",required_cot&lt;3),"",IF(INDEX(encoding_COT3_ratings,cot_data[[#This Row],[objective_index]])="","",INDEX(encoding_COT3_ratings,cot_data[[#This Row],[objective_index]])))</f>
        <v/>
      </c>
      <c r="J42" s="50" t="str" cm="1">
        <f t="array" ref="J42">IF(OR(cot_data[[#This Row],[objective_index]]="",required_cot&lt;4),"",IF(INDEX(encoding_COT4_ratings,cot_data[[#This Row],[objective_index]])="","",INDEX(encoding_COT4_ratings,cot_data[[#This Row],[objective_index]])))</f>
        <v/>
      </c>
      <c r="K42" s="50" t="str" cm="1">
        <f t="array" ref="K42">IF(cot_data[[#This Row],[objective_index]]="","",INDEX(encoding_cot1_scale,cot_data[[#This Row],[objective_index]]))</f>
        <v/>
      </c>
      <c r="L42" s="50" t="str" cm="1">
        <f t="array" ref="L42">IF(cot_data[[#This Row],[objective_index]]="","",INDEX(encoding_cot2_scale,cot_data[[#This Row],[objective_index]]))</f>
        <v/>
      </c>
      <c r="M42" s="50" t="str" cm="1">
        <f t="array" ref="M42">IF(cot_data[[#This Row],[objective_index]]="","",INDEX(encoding_cot3_scale,cot_data[[#This Row],[objective_index]]))</f>
        <v/>
      </c>
      <c r="N42" s="50" t="str" cm="1">
        <f t="array" ref="N42">IF(cot_data[[#This Row],[objective_index]]="","",INDEX(encoding_cot4_scale,cot_data[[#This Row],[objective_index]]))</f>
        <v/>
      </c>
      <c r="O42" s="217" t="str" cm="1">
        <f t="array" ref="O42">IF(cot_data[[#This Row],[objective_index]]="","",INDEX(encoding_cot_ave,cot_data[[#This Row],[objective_index]]))</f>
        <v/>
      </c>
    </row>
  </sheetData>
  <sheetProtection algorithmName="SHA-512" hashValue="jvhlJijKvdbPYsTSTAKyxqdjyi5O3/MWqOf6XCApYL6S0XdgHJYKY6l9sMMNocj/JaVh/xFMC3fSpJmePwHNCw==" saltValue="fPjAYHoAPIAarBGCyg9H2g==" spinCount="100000" sheet="1" objects="1" scenarios="1" selectLockedCells="1" selectUnlockedCells="1"/>
  <phoneticPr fontId="31" type="noConversion"/>
  <pageMargins left="0.7" right="0.7" top="0.75" bottom="0.75" header="0.3" footer="0.3"/>
  <pageSetup orientation="portrait" horizontalDpi="0" verticalDpi="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EB75C-8B40-3344-B729-21A83B12CC5C}">
  <sheetPr codeName="tbl_cot_meta_Sheet"/>
  <dimension ref="A1:G5"/>
  <sheetViews>
    <sheetView zoomScale="150" zoomScaleNormal="150" workbookViewId="0">
      <selection activeCell="D22" sqref="D22"/>
    </sheetView>
  </sheetViews>
  <sheetFormatPr defaultColWidth="8.85546875" defaultRowHeight="15" x14ac:dyDescent="0.25"/>
  <cols>
    <col min="1" max="1" width="23.85546875" customWidth="1"/>
    <col min="2" max="2" width="14.140625" bestFit="1" customWidth="1"/>
    <col min="3" max="3" width="11.28515625" customWidth="1"/>
    <col min="4" max="4" width="12" customWidth="1"/>
    <col min="5" max="5" width="10.28515625" customWidth="1"/>
    <col min="6" max="6" width="10.85546875" customWidth="1"/>
    <col min="7" max="7" width="12.140625" style="213" customWidth="1"/>
  </cols>
  <sheetData>
    <row r="1" spans="1:7" x14ac:dyDescent="0.25">
      <c r="A1" t="s">
        <v>23</v>
      </c>
      <c r="B1" t="s">
        <v>5</v>
      </c>
      <c r="C1" t="s">
        <v>7</v>
      </c>
      <c r="D1" t="s">
        <v>6</v>
      </c>
      <c r="E1" t="s">
        <v>91</v>
      </c>
      <c r="F1" t="s">
        <v>92</v>
      </c>
      <c r="G1" s="59" t="s">
        <v>93</v>
      </c>
    </row>
    <row r="2" spans="1:7" x14ac:dyDescent="0.25">
      <c r="A2" t="str" cm="1">
        <f t="array" aca="1" ref="A2" ca="1">IF(cot_meta[[#This Row],[cot_num]]="","",demographics[uniquepersonnelid])</f>
        <v>REG4A-01-301418-4363744</v>
      </c>
      <c r="B2" t="str">
        <f>IF(cot_meta[[#This Row],[cot_num]]="","","SY "&amp;sy_start&amp;"-"&amp;sy_end)</f>
        <v>SY 2023-2024</v>
      </c>
      <c r="C2" t="str">
        <f>IF(cot_meta[[#This Row],[cot_num]]="","",career_stage)</f>
        <v>P</v>
      </c>
      <c r="D2" t="str">
        <f>IF(cot_meta[[#This Row],[cot_num]]="","",teacher_type)</f>
        <v>R</v>
      </c>
      <c r="E2">
        <f>IF(required_cot&gt;=ROW(cot_meta[[#This Row],[uniquepersonnelid]])-1,ROW(cot_meta[[#This Row],[uniquepersonnelid]])-1,"")</f>
        <v>1</v>
      </c>
      <c r="F2" t="str">
        <f>IF(cot_meta[[#This Row],[cot_num]]="","",INDEX(encoding_COT1_subject,1,1))</f>
        <v>Filipino</v>
      </c>
      <c r="G2" s="213">
        <f ca="1">IF(cot_meta[[#This Row],[cot_num]]="","",INDEX(INDIRECT("encoding_COT"&amp;cot_meta[[#This Row],[cot_num]]&amp;"_date"),1,1))</f>
        <v>45216</v>
      </c>
    </row>
    <row r="3" spans="1:7" x14ac:dyDescent="0.25">
      <c r="A3" t="str" cm="1">
        <f t="array" aca="1" ref="A3" ca="1">IF(cot_meta[[#This Row],[cot_num]]="","",demographics[uniquepersonnelid])</f>
        <v>REG4A-01-301418-4363744</v>
      </c>
      <c r="B3" t="str">
        <f>IF(cot_meta[[#This Row],[cot_num]]="","","SY "&amp;sy_start&amp;"-"&amp;sy_end)</f>
        <v>SY 2023-2024</v>
      </c>
      <c r="C3" t="str">
        <f>IF(cot_meta[[#This Row],[cot_num]]="","",career_stage)</f>
        <v>P</v>
      </c>
      <c r="D3" t="str">
        <f>IF(cot_meta[[#This Row],[cot_num]]="","",teacher_type)</f>
        <v>R</v>
      </c>
      <c r="E3">
        <f>IF(required_cot&gt;=ROW(cot_meta[[#This Row],[uniquepersonnelid]])-1,ROW(cot_meta[[#This Row],[uniquepersonnelid]])-1,"")</f>
        <v>2</v>
      </c>
      <c r="F3" t="str">
        <f>IF(cot_meta[[#This Row],[cot_num]]="","",INDEX(encoding_COT2_subject,1,1))</f>
        <v>Filipino</v>
      </c>
      <c r="G3" s="213">
        <f ca="1">IF(cot_meta[[#This Row],[cot_num]]="","",INDEX(INDIRECT("encoding_COT"&amp;cot_meta[[#This Row],[cot_num]]&amp;"_date"),1,1))</f>
        <v>45307</v>
      </c>
    </row>
    <row r="4" spans="1:7" x14ac:dyDescent="0.25">
      <c r="A4" t="str" cm="1">
        <f t="array" aca="1" ref="A4" ca="1">IF(cot_meta[[#This Row],[cot_num]]="","",demographics[uniquepersonnelid])</f>
        <v>REG4A-01-301418-4363744</v>
      </c>
      <c r="B4" t="str">
        <f>IF(cot_meta[[#This Row],[cot_num]]="","","SY "&amp;sy_start&amp;"-"&amp;sy_end)</f>
        <v>SY 2023-2024</v>
      </c>
      <c r="C4" t="str">
        <f>IF(cot_meta[[#This Row],[cot_num]]="","",career_stage)</f>
        <v>P</v>
      </c>
      <c r="D4" t="str">
        <f>IF(cot_meta[[#This Row],[cot_num]]="","",teacher_type)</f>
        <v>R</v>
      </c>
      <c r="E4">
        <f>IF(required_cot&gt;=ROW(cot_meta[[#This Row],[uniquepersonnelid]])-1,ROW(cot_meta[[#This Row],[uniquepersonnelid]])-1,"")</f>
        <v>3</v>
      </c>
      <c r="F4" t="str">
        <f>IF(cot_meta[[#This Row],[cot_num]]="","",INDEX(encoding_COT3_subject,1,1))</f>
        <v>Filipino</v>
      </c>
      <c r="G4" s="213">
        <f ca="1">IF(cot_meta[[#This Row],[cot_num]]="","",INDEX(INDIRECT("encoding_COT"&amp;cot_meta[[#This Row],[cot_num]]&amp;"_date"),1,1))</f>
        <v>45358</v>
      </c>
    </row>
    <row r="5" spans="1:7" x14ac:dyDescent="0.25">
      <c r="A5" t="str" cm="1">
        <f t="array" aca="1" ref="A5" ca="1">IF(cot_meta[[#This Row],[cot_num]]="","",demographics[uniquepersonnelid])</f>
        <v>REG4A-01-301418-4363744</v>
      </c>
      <c r="B5" t="str">
        <f>IF(cot_meta[[#This Row],[cot_num]]="","","SY "&amp;sy_start&amp;"-"&amp;sy_end)</f>
        <v>SY 2023-2024</v>
      </c>
      <c r="C5" t="str">
        <f>IF(cot_meta[[#This Row],[cot_num]]="","",career_stage)</f>
        <v>P</v>
      </c>
      <c r="D5" t="str">
        <f>IF(cot_meta[[#This Row],[cot_num]]="","",teacher_type)</f>
        <v>R</v>
      </c>
      <c r="E5">
        <f>IF(required_cot&gt;=ROW(cot_meta[[#This Row],[uniquepersonnelid]])-1,ROW(cot_meta[[#This Row],[uniquepersonnelid]])-1,"")</f>
        <v>4</v>
      </c>
      <c r="F5" t="str">
        <f>IF(cot_meta[[#This Row],[cot_num]]="","",INDEX(encoding_COT4_subject,1,1))</f>
        <v>Filipino</v>
      </c>
      <c r="G5" s="213">
        <f ca="1">IF(cot_meta[[#This Row],[cot_num]]="","",INDEX(INDIRECT("encoding_COT"&amp;cot_meta[[#This Row],[cot_num]]&amp;"_date"),1,1))</f>
        <v>45419</v>
      </c>
    </row>
  </sheetData>
  <sheetProtection algorithmName="SHA-512" hashValue="koquaB4p1TLt6ScBVk4UbBcVsW8mk+RZaPokIk9nSYYLMhep9/qZLzU1TwggqJzvVoi2FkT1KLJM3EzLoaSrUg==" saltValue="cX4/YFJRYZYJG6/1KoJ34A==" spinCount="100000" sheet="1" objects="1" scenarios="1" selectLockedCells="1" selectUnlockedCells="1"/>
  <phoneticPr fontId="31" type="noConversion"/>
  <pageMargins left="0.7" right="0.7" top="0.75" bottom="0.75" header="0.3" footer="0.3"/>
  <pageSetup orientation="portrait" horizontalDpi="0" verticalDpi="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0AA86-01FA-174E-9041-59C15324A743}">
  <sheetPr codeName="tbl_part1_Sheet"/>
  <dimension ref="A1:M42"/>
  <sheetViews>
    <sheetView topLeftCell="A4" zoomScale="130" zoomScaleNormal="130" workbookViewId="0">
      <selection activeCell="K9" sqref="K9"/>
    </sheetView>
  </sheetViews>
  <sheetFormatPr defaultColWidth="8.85546875" defaultRowHeight="15" x14ac:dyDescent="0.25"/>
  <cols>
    <col min="1" max="1" width="23.85546875" customWidth="1"/>
    <col min="2" max="2" width="13.42578125" customWidth="1"/>
    <col min="3" max="3" width="14.42578125" customWidth="1"/>
    <col min="4" max="4" width="8" customWidth="1"/>
    <col min="5" max="5" width="10.28515625" customWidth="1"/>
    <col min="6" max="6" width="7.140625" style="50" bestFit="1" customWidth="1"/>
    <col min="7" max="7" width="7.140625" style="50" customWidth="1"/>
    <col min="8" max="8" width="7.140625" style="50" bestFit="1" customWidth="1"/>
    <col min="9" max="9" width="8.85546875" style="216" customWidth="1"/>
    <col min="10" max="10" width="8" style="50" customWidth="1"/>
    <col min="11" max="11" width="8" style="372" customWidth="1"/>
    <col min="13" max="13" width="13" customWidth="1"/>
  </cols>
  <sheetData>
    <row r="1" spans="1:13" x14ac:dyDescent="0.25">
      <c r="A1" t="s">
        <v>23</v>
      </c>
      <c r="B1" t="s">
        <v>5</v>
      </c>
      <c r="C1" t="s">
        <v>7</v>
      </c>
      <c r="D1" t="s">
        <v>6</v>
      </c>
      <c r="E1" t="s">
        <v>80</v>
      </c>
      <c r="F1" t="s">
        <v>81</v>
      </c>
      <c r="G1" s="50" t="s">
        <v>94</v>
      </c>
      <c r="H1" s="50" t="s">
        <v>95</v>
      </c>
      <c r="I1" s="50" t="s">
        <v>96</v>
      </c>
      <c r="J1" s="58" t="s">
        <v>90</v>
      </c>
      <c r="K1" s="370" t="s">
        <v>97</v>
      </c>
      <c r="L1" s="215" t="s">
        <v>98</v>
      </c>
      <c r="M1" t="s">
        <v>99</v>
      </c>
    </row>
    <row r="2" spans="1:13" x14ac:dyDescent="0.25">
      <c r="A2" t="str" cm="1">
        <f t="array" aca="1" ref="A2" ca="1">IF(tbl_part1[[#This Row],[objective_index]]="","",demographics[uniquepersonnelid])</f>
        <v>REG4A-01-301418-4363744</v>
      </c>
      <c r="B2" t="str">
        <f>IF(tbl_part1[[#This Row],[objective_index]]="","","SY "&amp;sy_start&amp;"-"&amp;sy_end)</f>
        <v>SY 2023-2024</v>
      </c>
      <c r="C2" t="str">
        <f>IF(tbl_part1[[#This Row],[objective_index]]="","",career_stage)</f>
        <v>P</v>
      </c>
      <c r="D2" t="str">
        <f>IF(tbl_part1[[#This Row],[objective_index]]="","",teacher_type)</f>
        <v>R</v>
      </c>
      <c r="E2" cm="1">
        <f t="array" ref="E2">IFERROR(SMALL(IF((INDEX(encoding_active_rows,,)),MATCH(ROW(encoding_active_rows),ROW(encoding_active_rows)),""),ROW(tbl_part1[[#This Row],[uniquepersonnelid]])-1),"")</f>
        <v>1</v>
      </c>
      <c r="F2" t="str" cm="1">
        <f t="array" ref="F2">IF(tbl_part1[[#This Row],[objective_index]]="","",INDEX(coi_ncoi_select,tbl_part1[[#This Row],[objective_index]],1))</f>
        <v>1.1.2</v>
      </c>
      <c r="G2" s="50">
        <f>IF(tbl_part1[[#This Row],[objective_index]]="","",IF(INDEX(Part1_data,tbl_part1[[#This Row],[objective_index]],1)=0,"",INDEX(Part1_data,tbl_part1[[#This Row],[objective_index]],1)))</f>
        <v>5</v>
      </c>
      <c r="H2" s="50">
        <f>IF(tbl_part1[[#This Row],[objective_index]]="","",IF(INDEX(Part1_data,tbl_part1[[#This Row],[objective_index]],2)=0,"",INDEX(Part1_data,tbl_part1[[#This Row],[objective_index]],2)))</f>
        <v>5</v>
      </c>
      <c r="I2" s="50" t="str">
        <f>IF(tbl_part1[[#This Row],[objective_index]]="","",IF(INDEX(Part1_data,tbl_part1[[#This Row],[objective_index]],3)=0,"",INDEX(Part1_data,tbl_part1[[#This Row],[objective_index]],3)))</f>
        <v/>
      </c>
      <c r="J2" s="216" cm="1">
        <f t="array" ref="J2">IF(tbl_part1[[#This Row],[objective_index]]="","",INDEX(Part1_data,tbl_part1[[#This Row],[objective_index]],4))</f>
        <v>5</v>
      </c>
      <c r="K2" s="371" cm="1">
        <f t="array" ref="K2">IF(tbl_part1[[#This Row],[objective_index]]="","",INDEX(encoding_weights,tbl_part1[[#This Row],[objective_index]]))</f>
        <v>7.0000000000000007E-2</v>
      </c>
      <c r="L2" s="216" cm="1">
        <f t="array" ref="L2">IF(tbl_part1[[#This Row],[objective_index]]="","",INDEX(Part1_data,tbl_part1[[#This Row],[objective_index]],5))</f>
        <v>0.35</v>
      </c>
      <c r="M2" s="50" t="str" cm="1">
        <f t="array" ref="M2">IF(tbl_part1[[#This Row],[objective_index]]="","",INDEX(Part1_data,tbl_part1[[#This Row],[objective_index]],6))</f>
        <v>Outstanding</v>
      </c>
    </row>
    <row r="3" spans="1:13" x14ac:dyDescent="0.25">
      <c r="A3" t="str" cm="1">
        <f t="array" aca="1" ref="A3" ca="1">IF(tbl_part1[[#This Row],[objective_index]]="","",demographics[uniquepersonnelid])</f>
        <v>REG4A-01-301418-4363744</v>
      </c>
      <c r="B3" t="str">
        <f>IF(tbl_part1[[#This Row],[objective_index]]="","","SY "&amp;sy_start&amp;"-"&amp;sy_end)</f>
        <v>SY 2023-2024</v>
      </c>
      <c r="C3" t="str">
        <f>IF(tbl_part1[[#This Row],[objective_index]]="","",career_stage)</f>
        <v>P</v>
      </c>
      <c r="D3" t="str">
        <f>IF(tbl_part1[[#This Row],[objective_index]]="","",teacher_type)</f>
        <v>R</v>
      </c>
      <c r="E3" cm="1">
        <f t="array" ref="E3">IFERROR(SMALL(IF((INDEX(encoding_active_rows,,)),MATCH(ROW(encoding_active_rows),ROW(encoding_active_rows)),""),ROW(tbl_part1[[#This Row],[uniquepersonnelid]])-1),"")</f>
        <v>4</v>
      </c>
      <c r="F3" t="str" cm="1">
        <f t="array" ref="F3">IF(tbl_part1[[#This Row],[objective_index]]="","",INDEX(coi_ncoi_select,tbl_part1[[#This Row],[objective_index]],1))</f>
        <v>1.4.2</v>
      </c>
      <c r="G3" s="50">
        <f>IF(tbl_part1[[#This Row],[objective_index]]="","",IF(INDEX(Part1_data,tbl_part1[[#This Row],[objective_index]],1)=0,"",INDEX(Part1_data,tbl_part1[[#This Row],[objective_index]],1)))</f>
        <v>5</v>
      </c>
      <c r="H3" s="50">
        <f>IF(tbl_part1[[#This Row],[objective_index]]="","",IF(INDEX(Part1_data,tbl_part1[[#This Row],[objective_index]],2)=0,"",INDEX(Part1_data,tbl_part1[[#This Row],[objective_index]],2)))</f>
        <v>5</v>
      </c>
      <c r="I3" s="50" t="str">
        <f>IF(tbl_part1[[#This Row],[objective_index]]="","",IF(INDEX(Part1_data,tbl_part1[[#This Row],[objective_index]],3)=0,"",INDEX(Part1_data,tbl_part1[[#This Row],[objective_index]],3)))</f>
        <v/>
      </c>
      <c r="J3" s="216" cm="1">
        <f t="array" ref="J3">IF(tbl_part1[[#This Row],[objective_index]]="","",INDEX(Part1_data,tbl_part1[[#This Row],[objective_index]],4))</f>
        <v>5</v>
      </c>
      <c r="K3" s="372" cm="1">
        <f t="array" ref="K3">IF(tbl_part1[[#This Row],[objective_index]]="","",INDEX(encoding_weights,tbl_part1[[#This Row],[objective_index]]))</f>
        <v>7.0000000000000007E-2</v>
      </c>
      <c r="L3" s="216" cm="1">
        <f t="array" ref="L3">IF(tbl_part1[[#This Row],[objective_index]]="","",INDEX(Part1_data,tbl_part1[[#This Row],[objective_index]],5))</f>
        <v>0.35</v>
      </c>
      <c r="M3" s="50" t="str" cm="1">
        <f t="array" ref="M3">IF(tbl_part1[[#This Row],[objective_index]]="","",INDEX(Part1_data,tbl_part1[[#This Row],[objective_index]],6))</f>
        <v>Outstanding</v>
      </c>
    </row>
    <row r="4" spans="1:13" x14ac:dyDescent="0.25">
      <c r="A4" t="str" cm="1">
        <f t="array" aca="1" ref="A4" ca="1">IF(tbl_part1[[#This Row],[objective_index]]="","",demographics[uniquepersonnelid])</f>
        <v>REG4A-01-301418-4363744</v>
      </c>
      <c r="B4" t="str">
        <f>IF(tbl_part1[[#This Row],[objective_index]]="","","SY "&amp;sy_start&amp;"-"&amp;sy_end)</f>
        <v>SY 2023-2024</v>
      </c>
      <c r="C4" t="str">
        <f>IF(tbl_part1[[#This Row],[objective_index]]="","",career_stage)</f>
        <v>P</v>
      </c>
      <c r="D4" t="str">
        <f>IF(tbl_part1[[#This Row],[objective_index]]="","",teacher_type)</f>
        <v>R</v>
      </c>
      <c r="E4" cm="1">
        <f t="array" ref="E4">IFERROR(SMALL(IF((INDEX(encoding_active_rows,,)),MATCH(ROW(encoding_active_rows),ROW(encoding_active_rows)),""),ROW(tbl_part1[[#This Row],[uniquepersonnelid]])-1),"")</f>
        <v>5</v>
      </c>
      <c r="F4" t="str" cm="1">
        <f t="array" ref="F4">IF(tbl_part1[[#This Row],[objective_index]]="","",INDEX(coi_ncoi_select,tbl_part1[[#This Row],[objective_index]],1))</f>
        <v>1.5.2</v>
      </c>
      <c r="G4" s="50">
        <f>IF(tbl_part1[[#This Row],[objective_index]]="","",IF(INDEX(Part1_data,tbl_part1[[#This Row],[objective_index]],1)=0,"",INDEX(Part1_data,tbl_part1[[#This Row],[objective_index]],1)))</f>
        <v>4</v>
      </c>
      <c r="H4" s="50">
        <f>IF(tbl_part1[[#This Row],[objective_index]]="","",IF(INDEX(Part1_data,tbl_part1[[#This Row],[objective_index]],2)=0,"",INDEX(Part1_data,tbl_part1[[#This Row],[objective_index]],2)))</f>
        <v>5</v>
      </c>
      <c r="I4" s="50" t="str">
        <f>IF(tbl_part1[[#This Row],[objective_index]]="","",IF(INDEX(Part1_data,tbl_part1[[#This Row],[objective_index]],3)=0,"",INDEX(Part1_data,tbl_part1[[#This Row],[objective_index]],3)))</f>
        <v/>
      </c>
      <c r="J4" s="216" cm="1">
        <f t="array" ref="J4">IF(tbl_part1[[#This Row],[objective_index]]="","",INDEX(Part1_data,tbl_part1[[#This Row],[objective_index]],4))</f>
        <v>4.5</v>
      </c>
      <c r="K4" s="372" cm="1">
        <f t="array" ref="K4">IF(tbl_part1[[#This Row],[objective_index]]="","",INDEX(encoding_weights,tbl_part1[[#This Row],[objective_index]]))</f>
        <v>7.0000000000000007E-2</v>
      </c>
      <c r="L4" s="216" cm="1">
        <f t="array" ref="L4">IF(tbl_part1[[#This Row],[objective_index]]="","",INDEX(Part1_data,tbl_part1[[#This Row],[objective_index]],5))</f>
        <v>0.315</v>
      </c>
      <c r="M4" s="50" t="str" cm="1">
        <f t="array" ref="M4">IF(tbl_part1[[#This Row],[objective_index]]="","",INDEX(Part1_data,tbl_part1[[#This Row],[objective_index]],6))</f>
        <v>Outstanding</v>
      </c>
    </row>
    <row r="5" spans="1:13" x14ac:dyDescent="0.25">
      <c r="A5" t="str" cm="1">
        <f t="array" aca="1" ref="A5" ca="1">IF(tbl_part1[[#This Row],[objective_index]]="","",demographics[uniquepersonnelid])</f>
        <v>REG4A-01-301418-4363744</v>
      </c>
      <c r="B5" t="str">
        <f>IF(tbl_part1[[#This Row],[objective_index]]="","","SY "&amp;sy_start&amp;"-"&amp;sy_end)</f>
        <v>SY 2023-2024</v>
      </c>
      <c r="C5" t="str">
        <f>IF(tbl_part1[[#This Row],[objective_index]]="","",career_stage)</f>
        <v>P</v>
      </c>
      <c r="D5" t="str">
        <f>IF(tbl_part1[[#This Row],[objective_index]]="","",teacher_type)</f>
        <v>R</v>
      </c>
      <c r="E5" cm="1">
        <f t="array" ref="E5">IFERROR(SMALL(IF((INDEX(encoding_active_rows,,)),MATCH(ROW(encoding_active_rows),ROW(encoding_active_rows)),""),ROW(tbl_part1[[#This Row],[uniquepersonnelid]])-1),"")</f>
        <v>6</v>
      </c>
      <c r="F5" t="str" cm="1">
        <f t="array" ref="F5">IF(tbl_part1[[#This Row],[objective_index]]="","",INDEX(coi_ncoi_select,tbl_part1[[#This Row],[objective_index]],1))</f>
        <v>1.6.2</v>
      </c>
      <c r="G5" s="50">
        <f>IF(tbl_part1[[#This Row],[objective_index]]="","",IF(INDEX(Part1_data,tbl_part1[[#This Row],[objective_index]],1)=0,"",INDEX(Part1_data,tbl_part1[[#This Row],[objective_index]],1)))</f>
        <v>5</v>
      </c>
      <c r="H5" s="50">
        <f>IF(tbl_part1[[#This Row],[objective_index]]="","",IF(INDEX(Part1_data,tbl_part1[[#This Row],[objective_index]],2)=0,"",INDEX(Part1_data,tbl_part1[[#This Row],[objective_index]],2)))</f>
        <v>5</v>
      </c>
      <c r="I5" s="50" t="str">
        <f>IF(tbl_part1[[#This Row],[objective_index]]="","",IF(INDEX(Part1_data,tbl_part1[[#This Row],[objective_index]],3)=0,"",INDEX(Part1_data,tbl_part1[[#This Row],[objective_index]],3)))</f>
        <v/>
      </c>
      <c r="J5" s="216" cm="1">
        <f t="array" ref="J5">IF(tbl_part1[[#This Row],[objective_index]]="","",INDEX(Part1_data,tbl_part1[[#This Row],[objective_index]],4))</f>
        <v>5</v>
      </c>
      <c r="K5" s="372" cm="1">
        <f t="array" ref="K5">IF(tbl_part1[[#This Row],[objective_index]]="","",INDEX(encoding_weights,tbl_part1[[#This Row],[objective_index]]))</f>
        <v>7.0000000000000007E-2</v>
      </c>
      <c r="L5" s="216" cm="1">
        <f t="array" ref="L5">IF(tbl_part1[[#This Row],[objective_index]]="","",INDEX(Part1_data,tbl_part1[[#This Row],[objective_index]],5))</f>
        <v>0.35</v>
      </c>
      <c r="M5" s="50" t="str" cm="1">
        <f t="array" ref="M5">IF(tbl_part1[[#This Row],[objective_index]]="","",INDEX(Part1_data,tbl_part1[[#This Row],[objective_index]],6))</f>
        <v>Outstanding</v>
      </c>
    </row>
    <row r="6" spans="1:13" x14ac:dyDescent="0.25">
      <c r="A6" t="str" cm="1">
        <f t="array" aca="1" ref="A6" ca="1">IF(tbl_part1[[#This Row],[objective_index]]="","",demographics[uniquepersonnelid])</f>
        <v>REG4A-01-301418-4363744</v>
      </c>
      <c r="B6" t="str">
        <f>IF(tbl_part1[[#This Row],[objective_index]]="","","SY "&amp;sy_start&amp;"-"&amp;sy_end)</f>
        <v>SY 2023-2024</v>
      </c>
      <c r="C6" t="str">
        <f>IF(tbl_part1[[#This Row],[objective_index]]="","",career_stage)</f>
        <v>P</v>
      </c>
      <c r="D6" t="str">
        <f>IF(tbl_part1[[#This Row],[objective_index]]="","",teacher_type)</f>
        <v>R</v>
      </c>
      <c r="E6" cm="1">
        <f t="array" ref="E6">IFERROR(SMALL(IF((INDEX(encoding_active_rows,,)),MATCH(ROW(encoding_active_rows),ROW(encoding_active_rows)),""),ROW(tbl_part1[[#This Row],[uniquepersonnelid]])-1),"")</f>
        <v>8</v>
      </c>
      <c r="F6" t="str" cm="1">
        <f t="array" ref="F6">IF(tbl_part1[[#This Row],[objective_index]]="","",INDEX(coi_ncoi_select,tbl_part1[[#This Row],[objective_index]],1))</f>
        <v>2.1.2</v>
      </c>
      <c r="G6" s="50">
        <f>IF(tbl_part1[[#This Row],[objective_index]]="","",IF(INDEX(Part1_data,tbl_part1[[#This Row],[objective_index]],1)=0,"",INDEX(Part1_data,tbl_part1[[#This Row],[objective_index]],1)))</f>
        <v>5</v>
      </c>
      <c r="H6" s="50">
        <f>IF(tbl_part1[[#This Row],[objective_index]]="","",IF(INDEX(Part1_data,tbl_part1[[#This Row],[objective_index]],2)=0,"",INDEX(Part1_data,tbl_part1[[#This Row],[objective_index]],2)))</f>
        <v>5</v>
      </c>
      <c r="I6" s="50" t="str">
        <f>IF(tbl_part1[[#This Row],[objective_index]]="","",IF(INDEX(Part1_data,tbl_part1[[#This Row],[objective_index]],3)=0,"",INDEX(Part1_data,tbl_part1[[#This Row],[objective_index]],3)))</f>
        <v/>
      </c>
      <c r="J6" s="216" cm="1">
        <f t="array" ref="J6">IF(tbl_part1[[#This Row],[objective_index]]="","",INDEX(Part1_data,tbl_part1[[#This Row],[objective_index]],4))</f>
        <v>5</v>
      </c>
      <c r="K6" s="372" cm="1">
        <f t="array" ref="K6">IF(tbl_part1[[#This Row],[objective_index]]="","",INDEX(encoding_weights,tbl_part1[[#This Row],[objective_index]]))</f>
        <v>7.0000000000000007E-2</v>
      </c>
      <c r="L6" s="216" cm="1">
        <f t="array" ref="L6">IF(tbl_part1[[#This Row],[objective_index]]="","",INDEX(Part1_data,tbl_part1[[#This Row],[objective_index]],5))</f>
        <v>0.35</v>
      </c>
      <c r="M6" s="50" t="str" cm="1">
        <f t="array" ref="M6">IF(tbl_part1[[#This Row],[objective_index]]="","",INDEX(Part1_data,tbl_part1[[#This Row],[objective_index]],6))</f>
        <v>Outstanding</v>
      </c>
    </row>
    <row r="7" spans="1:13" x14ac:dyDescent="0.25">
      <c r="A7" t="str" cm="1">
        <f t="array" aca="1" ref="A7" ca="1">IF(tbl_part1[[#This Row],[objective_index]]="","",demographics[uniquepersonnelid])</f>
        <v>REG4A-01-301418-4363744</v>
      </c>
      <c r="B7" t="str">
        <f>IF(tbl_part1[[#This Row],[objective_index]]="","","SY "&amp;sy_start&amp;"-"&amp;sy_end)</f>
        <v>SY 2023-2024</v>
      </c>
      <c r="C7" t="str">
        <f>IF(tbl_part1[[#This Row],[objective_index]]="","",career_stage)</f>
        <v>P</v>
      </c>
      <c r="D7" t="str">
        <f>IF(tbl_part1[[#This Row],[objective_index]]="","",teacher_type)</f>
        <v>R</v>
      </c>
      <c r="E7" cm="1">
        <f t="array" ref="E7">IFERROR(SMALL(IF((INDEX(encoding_active_rows,,)),MATCH(ROW(encoding_active_rows),ROW(encoding_active_rows)),""),ROW(tbl_part1[[#This Row],[uniquepersonnelid]])-1),"")</f>
        <v>9</v>
      </c>
      <c r="F7" t="str" cm="1">
        <f t="array" ref="F7">IF(tbl_part1[[#This Row],[objective_index]]="","",INDEX(coi_ncoi_select,tbl_part1[[#This Row],[objective_index]],1))</f>
        <v>2.2.2</v>
      </c>
      <c r="G7" s="50">
        <f>IF(tbl_part1[[#This Row],[objective_index]]="","",IF(INDEX(Part1_data,tbl_part1[[#This Row],[objective_index]],1)=0,"",INDEX(Part1_data,tbl_part1[[#This Row],[objective_index]],1)))</f>
        <v>5</v>
      </c>
      <c r="H7" s="50">
        <f>IF(tbl_part1[[#This Row],[objective_index]]="","",IF(INDEX(Part1_data,tbl_part1[[#This Row],[objective_index]],2)=0,"",INDEX(Part1_data,tbl_part1[[#This Row],[objective_index]],2)))</f>
        <v>5</v>
      </c>
      <c r="I7" s="50" t="str">
        <f>IF(tbl_part1[[#This Row],[objective_index]]="","",IF(INDEX(Part1_data,tbl_part1[[#This Row],[objective_index]],3)=0,"",INDEX(Part1_data,tbl_part1[[#This Row],[objective_index]],3)))</f>
        <v/>
      </c>
      <c r="J7" s="216" cm="1">
        <f t="array" ref="J7">IF(tbl_part1[[#This Row],[objective_index]]="","",INDEX(Part1_data,tbl_part1[[#This Row],[objective_index]],4))</f>
        <v>5</v>
      </c>
      <c r="K7" s="372" cm="1">
        <f t="array" ref="K7">IF(tbl_part1[[#This Row],[objective_index]]="","",INDEX(encoding_weights,tbl_part1[[#This Row],[objective_index]]))</f>
        <v>7.0000000000000007E-2</v>
      </c>
      <c r="L7" s="216" cm="1">
        <f t="array" ref="L7">IF(tbl_part1[[#This Row],[objective_index]]="","",INDEX(Part1_data,tbl_part1[[#This Row],[objective_index]],5))</f>
        <v>0.35</v>
      </c>
      <c r="M7" s="50" t="str" cm="1">
        <f t="array" ref="M7">IF(tbl_part1[[#This Row],[objective_index]]="","",INDEX(Part1_data,tbl_part1[[#This Row],[objective_index]],6))</f>
        <v>Outstanding</v>
      </c>
    </row>
    <row r="8" spans="1:13" x14ac:dyDescent="0.25">
      <c r="A8" t="str" cm="1">
        <f t="array" aca="1" ref="A8" ca="1">IF(tbl_part1[[#This Row],[objective_index]]="","",demographics[uniquepersonnelid])</f>
        <v>REG4A-01-301418-4363744</v>
      </c>
      <c r="B8" t="str">
        <f>IF(tbl_part1[[#This Row],[objective_index]]="","","SY "&amp;sy_start&amp;"-"&amp;sy_end)</f>
        <v>SY 2023-2024</v>
      </c>
      <c r="C8" t="str">
        <f>IF(tbl_part1[[#This Row],[objective_index]]="","",career_stage)</f>
        <v>P</v>
      </c>
      <c r="D8" t="str">
        <f>IF(tbl_part1[[#This Row],[objective_index]]="","",teacher_type)</f>
        <v>R</v>
      </c>
      <c r="E8" cm="1">
        <f t="array" ref="E8">IFERROR(SMALL(IF((INDEX(encoding_active_rows,,)),MATCH(ROW(encoding_active_rows),ROW(encoding_active_rows)),""),ROW(tbl_part1[[#This Row],[uniquepersonnelid]])-1),"")</f>
        <v>15</v>
      </c>
      <c r="F8" t="str" cm="1">
        <f t="array" ref="F8">IF(tbl_part1[[#This Row],[objective_index]]="","",INDEX(coi_ncoi_select,tbl_part1[[#This Row],[objective_index]],1))</f>
        <v>3.2.2</v>
      </c>
      <c r="G8" s="50">
        <f>IF(tbl_part1[[#This Row],[objective_index]]="","",IF(INDEX(Part1_data,tbl_part1[[#This Row],[objective_index]],1)=0,"",INDEX(Part1_data,tbl_part1[[#This Row],[objective_index]],1)))</f>
        <v>5</v>
      </c>
      <c r="H8" s="50">
        <f>IF(tbl_part1[[#This Row],[objective_index]]="","",IF(INDEX(Part1_data,tbl_part1[[#This Row],[objective_index]],2)=0,"",INDEX(Part1_data,tbl_part1[[#This Row],[objective_index]],2)))</f>
        <v>5</v>
      </c>
      <c r="I8" s="50" t="str">
        <f>IF(tbl_part1[[#This Row],[objective_index]]="","",IF(INDEX(Part1_data,tbl_part1[[#This Row],[objective_index]],3)=0,"",INDEX(Part1_data,tbl_part1[[#This Row],[objective_index]],3)))</f>
        <v/>
      </c>
      <c r="J8" s="216" cm="1">
        <f t="array" ref="J8">IF(tbl_part1[[#This Row],[objective_index]]="","",INDEX(Part1_data,tbl_part1[[#This Row],[objective_index]],4))</f>
        <v>5</v>
      </c>
      <c r="K8" s="372" cm="1">
        <f t="array" ref="K8">IF(tbl_part1[[#This Row],[objective_index]]="","",INDEX(encoding_weights,tbl_part1[[#This Row],[objective_index]]))</f>
        <v>7.0000000000000007E-2</v>
      </c>
      <c r="L8" s="216" cm="1">
        <f t="array" ref="L8">IF(tbl_part1[[#This Row],[objective_index]]="","",INDEX(Part1_data,tbl_part1[[#This Row],[objective_index]],5))</f>
        <v>0.35</v>
      </c>
      <c r="M8" s="50" t="str" cm="1">
        <f t="array" ref="M8">IF(tbl_part1[[#This Row],[objective_index]]="","",INDEX(Part1_data,tbl_part1[[#This Row],[objective_index]],6))</f>
        <v>Outstanding</v>
      </c>
    </row>
    <row r="9" spans="1:13" x14ac:dyDescent="0.25">
      <c r="A9" t="str" cm="1">
        <f t="array" aca="1" ref="A9" ca="1">IF(tbl_part1[[#This Row],[objective_index]]="","",demographics[uniquepersonnelid])</f>
        <v>REG4A-01-301418-4363744</v>
      </c>
      <c r="B9" t="str">
        <f>IF(tbl_part1[[#This Row],[objective_index]]="","","SY "&amp;sy_start&amp;"-"&amp;sy_end)</f>
        <v>SY 2023-2024</v>
      </c>
      <c r="C9" t="str">
        <f>IF(tbl_part1[[#This Row],[objective_index]]="","",career_stage)</f>
        <v>P</v>
      </c>
      <c r="D9" t="str">
        <f>IF(tbl_part1[[#This Row],[objective_index]]="","",teacher_type)</f>
        <v>R</v>
      </c>
      <c r="E9" cm="1">
        <f t="array" ref="E9">IFERROR(SMALL(IF((INDEX(encoding_active_rows,,)),MATCH(ROW(encoding_active_rows),ROW(encoding_active_rows)),""),ROW(tbl_part1[[#This Row],[uniquepersonnelid]])-1),"")</f>
        <v>18</v>
      </c>
      <c r="F9" t="str" cm="1">
        <f t="array" ref="F9">IF(tbl_part1[[#This Row],[objective_index]]="","",INDEX(coi_ncoi_select,tbl_part1[[#This Row],[objective_index]],1))</f>
        <v>3.5.2</v>
      </c>
      <c r="G9" s="50">
        <f>IF(tbl_part1[[#This Row],[objective_index]]="","",IF(INDEX(Part1_data,tbl_part1[[#This Row],[objective_index]],1)=0,"",INDEX(Part1_data,tbl_part1[[#This Row],[objective_index]],1)))</f>
        <v>5</v>
      </c>
      <c r="H9" s="50">
        <f>IF(tbl_part1[[#This Row],[objective_index]]="","",IF(INDEX(Part1_data,tbl_part1[[#This Row],[objective_index]],2)=0,"",INDEX(Part1_data,tbl_part1[[#This Row],[objective_index]],2)))</f>
        <v>5</v>
      </c>
      <c r="I9" s="50" t="str">
        <f>IF(tbl_part1[[#This Row],[objective_index]]="","",IF(INDEX(Part1_data,tbl_part1[[#This Row],[objective_index]],3)=0,"",INDEX(Part1_data,tbl_part1[[#This Row],[objective_index]],3)))</f>
        <v/>
      </c>
      <c r="J9" s="216" cm="1">
        <f t="array" ref="J9">IF(tbl_part1[[#This Row],[objective_index]]="","",INDEX(Part1_data,tbl_part1[[#This Row],[objective_index]],4))</f>
        <v>5</v>
      </c>
      <c r="K9" s="372" cm="1">
        <f t="array" ref="K9">IF(tbl_part1[[#This Row],[objective_index]]="","",INDEX(encoding_weights,tbl_part1[[#This Row],[objective_index]]))</f>
        <v>7.0000000000000007E-2</v>
      </c>
      <c r="L9" s="216" cm="1">
        <f t="array" ref="L9">IF(tbl_part1[[#This Row],[objective_index]]="","",INDEX(Part1_data,tbl_part1[[#This Row],[objective_index]],5))</f>
        <v>0.35</v>
      </c>
      <c r="M9" s="50" t="str" cm="1">
        <f t="array" ref="M9">IF(tbl_part1[[#This Row],[objective_index]]="","",INDEX(Part1_data,tbl_part1[[#This Row],[objective_index]],6))</f>
        <v>Outstanding</v>
      </c>
    </row>
    <row r="10" spans="1:13" x14ac:dyDescent="0.25">
      <c r="A10" t="str" cm="1">
        <f t="array" aca="1" ref="A10" ca="1">IF(tbl_part1[[#This Row],[objective_index]]="","",demographics[uniquepersonnelid])</f>
        <v>REG4A-01-301418-4363744</v>
      </c>
      <c r="B10" t="str">
        <f>IF(tbl_part1[[#This Row],[objective_index]]="","","SY "&amp;sy_start&amp;"-"&amp;sy_end)</f>
        <v>SY 2023-2024</v>
      </c>
      <c r="C10" t="str">
        <f>IF(tbl_part1[[#This Row],[objective_index]]="","",career_stage)</f>
        <v>P</v>
      </c>
      <c r="D10" t="str">
        <f>IF(tbl_part1[[#This Row],[objective_index]]="","",teacher_type)</f>
        <v>R</v>
      </c>
      <c r="E10" cm="1">
        <f t="array" ref="E10">IFERROR(SMALL(IF((INDEX(encoding_active_rows,,)),MATCH(ROW(encoding_active_rows),ROW(encoding_active_rows)),""),ROW(tbl_part1[[#This Row],[uniquepersonnelid]])-1),"")</f>
        <v>20</v>
      </c>
      <c r="F10" t="str" cm="1">
        <f t="array" ref="F10">IF(tbl_part1[[#This Row],[objective_index]]="","",INDEX(coi_ncoi_select,tbl_part1[[#This Row],[objective_index]],1))</f>
        <v>4.2.2</v>
      </c>
      <c r="G10" s="50">
        <f>IF(tbl_part1[[#This Row],[objective_index]]="","",IF(INDEX(Part1_data,tbl_part1[[#This Row],[objective_index]],1)=0,"",INDEX(Part1_data,tbl_part1[[#This Row],[objective_index]],1)))</f>
        <v>4</v>
      </c>
      <c r="H10" s="50">
        <f>IF(tbl_part1[[#This Row],[objective_index]]="","",IF(INDEX(Part1_data,tbl_part1[[#This Row],[objective_index]],2)=0,"",INDEX(Part1_data,tbl_part1[[#This Row],[objective_index]],2)))</f>
        <v>4</v>
      </c>
      <c r="I10" s="50" t="str">
        <f>IF(tbl_part1[[#This Row],[objective_index]]="","",IF(INDEX(Part1_data,tbl_part1[[#This Row],[objective_index]],3)=0,"",INDEX(Part1_data,tbl_part1[[#This Row],[objective_index]],3)))</f>
        <v/>
      </c>
      <c r="J10" s="216" cm="1">
        <f t="array" ref="J10">IF(tbl_part1[[#This Row],[objective_index]]="","",INDEX(Part1_data,tbl_part1[[#This Row],[objective_index]],4))</f>
        <v>4</v>
      </c>
      <c r="K10" s="372" cm="1">
        <f t="array" ref="K10">IF(tbl_part1[[#This Row],[objective_index]]="","",INDEX(encoding_weights,tbl_part1[[#This Row],[objective_index]]))</f>
        <v>7.0000000000000007E-2</v>
      </c>
      <c r="L10" s="216" cm="1">
        <f t="array" ref="L10">IF(tbl_part1[[#This Row],[objective_index]]="","",INDEX(Part1_data,tbl_part1[[#This Row],[objective_index]],5))</f>
        <v>0.28000000000000003</v>
      </c>
      <c r="M10" s="50" t="str" cm="1">
        <f t="array" ref="M10">IF(tbl_part1[[#This Row],[objective_index]]="","",INDEX(Part1_data,tbl_part1[[#This Row],[objective_index]],6))</f>
        <v>Very Satisfactory</v>
      </c>
    </row>
    <row r="11" spans="1:13" x14ac:dyDescent="0.25">
      <c r="A11" t="str" cm="1">
        <f t="array" aca="1" ref="A11" ca="1">IF(tbl_part1[[#This Row],[objective_index]]="","",demographics[uniquepersonnelid])</f>
        <v>REG4A-01-301418-4363744</v>
      </c>
      <c r="B11" t="str">
        <f>IF(tbl_part1[[#This Row],[objective_index]]="","","SY "&amp;sy_start&amp;"-"&amp;sy_end)</f>
        <v>SY 2023-2024</v>
      </c>
      <c r="C11" t="str">
        <f>IF(tbl_part1[[#This Row],[objective_index]]="","",career_stage)</f>
        <v>P</v>
      </c>
      <c r="D11" t="str">
        <f>IF(tbl_part1[[#This Row],[objective_index]]="","",teacher_type)</f>
        <v>R</v>
      </c>
      <c r="E11" cm="1">
        <f t="array" ref="E11">IFERROR(SMALL(IF((INDEX(encoding_active_rows,,)),MATCH(ROW(encoding_active_rows),ROW(encoding_active_rows)),""),ROW(tbl_part1[[#This Row],[uniquepersonnelid]])-1),"")</f>
        <v>26</v>
      </c>
      <c r="F11" t="str" cm="1">
        <f t="array" ref="F11">IF(tbl_part1[[#This Row],[objective_index]]="","",INDEX(coi_ncoi_select,tbl_part1[[#This Row],[objective_index]],1))</f>
        <v>5.3.2</v>
      </c>
      <c r="G11" s="50">
        <f>IF(tbl_part1[[#This Row],[objective_index]]="","",IF(INDEX(Part1_data,tbl_part1[[#This Row],[objective_index]],1)=0,"",INDEX(Part1_data,tbl_part1[[#This Row],[objective_index]],1)))</f>
        <v>5</v>
      </c>
      <c r="H11" s="50">
        <f>IF(tbl_part1[[#This Row],[objective_index]]="","",IF(INDEX(Part1_data,tbl_part1[[#This Row],[objective_index]],2)=0,"",INDEX(Part1_data,tbl_part1[[#This Row],[objective_index]],2)))</f>
        <v>5</v>
      </c>
      <c r="I11" s="50" t="str">
        <f>IF(tbl_part1[[#This Row],[objective_index]]="","",IF(INDEX(Part1_data,tbl_part1[[#This Row],[objective_index]],3)=0,"",INDEX(Part1_data,tbl_part1[[#This Row],[objective_index]],3)))</f>
        <v/>
      </c>
      <c r="J11" s="216" cm="1">
        <f t="array" ref="J11">IF(tbl_part1[[#This Row],[objective_index]]="","",INDEX(Part1_data,tbl_part1[[#This Row],[objective_index]],4))</f>
        <v>5</v>
      </c>
      <c r="K11" s="372" cm="1">
        <f t="array" ref="K11">IF(tbl_part1[[#This Row],[objective_index]]="","",INDEX(encoding_weights,tbl_part1[[#This Row],[objective_index]]))</f>
        <v>7.0000000000000007E-2</v>
      </c>
      <c r="L11" s="216" cm="1">
        <f t="array" ref="L11">IF(tbl_part1[[#This Row],[objective_index]]="","",INDEX(Part1_data,tbl_part1[[#This Row],[objective_index]],5))</f>
        <v>0.35</v>
      </c>
      <c r="M11" s="50" t="str" cm="1">
        <f t="array" ref="M11">IF(tbl_part1[[#This Row],[objective_index]]="","",INDEX(Part1_data,tbl_part1[[#This Row],[objective_index]],6))</f>
        <v>Outstanding</v>
      </c>
    </row>
    <row r="12" spans="1:13" x14ac:dyDescent="0.25">
      <c r="A12" t="str" cm="1">
        <f t="array" aca="1" ref="A12" ca="1">IF(tbl_part1[[#This Row],[objective_index]]="","",demographics[uniquepersonnelid])</f>
        <v>REG4A-01-301418-4363744</v>
      </c>
      <c r="B12" t="str">
        <f>IF(tbl_part1[[#This Row],[objective_index]]="","","SY "&amp;sy_start&amp;"-"&amp;sy_end)</f>
        <v>SY 2023-2024</v>
      </c>
      <c r="C12" t="str">
        <f>IF(tbl_part1[[#This Row],[objective_index]]="","",career_stage)</f>
        <v>P</v>
      </c>
      <c r="D12" t="str">
        <f>IF(tbl_part1[[#This Row],[objective_index]]="","",teacher_type)</f>
        <v>R</v>
      </c>
      <c r="E12" cm="1">
        <f t="array" ref="E12">IFERROR(SMALL(IF((INDEX(encoding_active_rows,,)),MATCH(ROW(encoding_active_rows),ROW(encoding_active_rows)),""),ROW(tbl_part1[[#This Row],[uniquepersonnelid]])-1),"")</f>
        <v>28</v>
      </c>
      <c r="F12" t="str" cm="1">
        <f t="array" ref="F12">IF(tbl_part1[[#This Row],[objective_index]]="","",INDEX(coi_ncoi_select,tbl_part1[[#This Row],[objective_index]],1))</f>
        <v>5.5.2</v>
      </c>
      <c r="G12" s="50">
        <f>IF(tbl_part1[[#This Row],[objective_index]]="","",IF(INDEX(Part1_data,tbl_part1[[#This Row],[objective_index]],1)=0,"",INDEX(Part1_data,tbl_part1[[#This Row],[objective_index]],1)))</f>
        <v>4</v>
      </c>
      <c r="H12" s="50" t="str">
        <f>IF(tbl_part1[[#This Row],[objective_index]]="","",IF(INDEX(Part1_data,tbl_part1[[#This Row],[objective_index]],2)=0,"",INDEX(Part1_data,tbl_part1[[#This Row],[objective_index]],2)))</f>
        <v/>
      </c>
      <c r="I12" s="50">
        <f>IF(tbl_part1[[#This Row],[objective_index]]="","",IF(INDEX(Part1_data,tbl_part1[[#This Row],[objective_index]],3)=0,"",INDEX(Part1_data,tbl_part1[[#This Row],[objective_index]],3)))</f>
        <v>5</v>
      </c>
      <c r="J12" s="216" cm="1">
        <f t="array" ref="J12">IF(tbl_part1[[#This Row],[objective_index]]="","",INDEX(Part1_data,tbl_part1[[#This Row],[objective_index]],4))</f>
        <v>4.5</v>
      </c>
      <c r="K12" s="372" cm="1">
        <f t="array" ref="K12">IF(tbl_part1[[#This Row],[objective_index]]="","",INDEX(encoding_weights,tbl_part1[[#This Row],[objective_index]]))</f>
        <v>7.0000000000000007E-2</v>
      </c>
      <c r="L12" s="216" cm="1">
        <f t="array" ref="L12">IF(tbl_part1[[#This Row],[objective_index]]="","",INDEX(Part1_data,tbl_part1[[#This Row],[objective_index]],5))</f>
        <v>0.315</v>
      </c>
      <c r="M12" s="50" t="str" cm="1">
        <f t="array" ref="M12">IF(tbl_part1[[#This Row],[objective_index]]="","",INDEX(Part1_data,tbl_part1[[#This Row],[objective_index]],6))</f>
        <v>Outstanding</v>
      </c>
    </row>
    <row r="13" spans="1:13" x14ac:dyDescent="0.25">
      <c r="A13" t="str" cm="1">
        <f t="array" aca="1" ref="A13" ca="1">IF(tbl_part1[[#This Row],[objective_index]]="","",demographics[uniquepersonnelid])</f>
        <v>REG4A-01-301418-4363744</v>
      </c>
      <c r="B13" t="str">
        <f>IF(tbl_part1[[#This Row],[objective_index]]="","","SY "&amp;sy_start&amp;"-"&amp;sy_end)</f>
        <v>SY 2023-2024</v>
      </c>
      <c r="C13" t="str">
        <f>IF(tbl_part1[[#This Row],[objective_index]]="","",career_stage)</f>
        <v>P</v>
      </c>
      <c r="D13" t="str">
        <f>IF(tbl_part1[[#This Row],[objective_index]]="","",teacher_type)</f>
        <v>R</v>
      </c>
      <c r="E13" cm="1">
        <f t="array" ref="E13">IFERROR(SMALL(IF((INDEX(encoding_active_rows,,)),MATCH(ROW(encoding_active_rows),ROW(encoding_active_rows)),""),ROW(tbl_part1[[#This Row],[uniquepersonnelid]])-1),"")</f>
        <v>30</v>
      </c>
      <c r="F13" t="str" cm="1">
        <f t="array" ref="F13">IF(tbl_part1[[#This Row],[objective_index]]="","",INDEX(coi_ncoi_select,tbl_part1[[#This Row],[objective_index]],1))</f>
        <v>6.2.2</v>
      </c>
      <c r="G13" s="50">
        <f>IF(tbl_part1[[#This Row],[objective_index]]="","",IF(INDEX(Part1_data,tbl_part1[[#This Row],[objective_index]],1)=0,"",INDEX(Part1_data,tbl_part1[[#This Row],[objective_index]],1)))</f>
        <v>4</v>
      </c>
      <c r="H13" s="50" t="str">
        <f>IF(tbl_part1[[#This Row],[objective_index]]="","",IF(INDEX(Part1_data,tbl_part1[[#This Row],[objective_index]],2)=0,"",INDEX(Part1_data,tbl_part1[[#This Row],[objective_index]],2)))</f>
        <v/>
      </c>
      <c r="I13" s="50">
        <f>IF(tbl_part1[[#This Row],[objective_index]]="","",IF(INDEX(Part1_data,tbl_part1[[#This Row],[objective_index]],3)=0,"",INDEX(Part1_data,tbl_part1[[#This Row],[objective_index]],3)))</f>
        <v>5</v>
      </c>
      <c r="J13" s="216" cm="1">
        <f t="array" ref="J13">IF(tbl_part1[[#This Row],[objective_index]]="","",INDEX(Part1_data,tbl_part1[[#This Row],[objective_index]],4))</f>
        <v>4.5</v>
      </c>
      <c r="K13" s="372" cm="1">
        <f t="array" ref="K13">IF(tbl_part1[[#This Row],[objective_index]]="","",INDEX(encoding_weights,tbl_part1[[#This Row],[objective_index]]))</f>
        <v>7.0000000000000007E-2</v>
      </c>
      <c r="L13" s="216" cm="1">
        <f t="array" ref="L13">IF(tbl_part1[[#This Row],[objective_index]]="","",INDEX(Part1_data,tbl_part1[[#This Row],[objective_index]],5))</f>
        <v>0.315</v>
      </c>
      <c r="M13" s="50" t="str" cm="1">
        <f t="array" ref="M13">IF(tbl_part1[[#This Row],[objective_index]]="","",INDEX(Part1_data,tbl_part1[[#This Row],[objective_index]],6))</f>
        <v>Outstanding</v>
      </c>
    </row>
    <row r="14" spans="1:13" x14ac:dyDescent="0.25">
      <c r="A14" t="str" cm="1">
        <f t="array" aca="1" ref="A14" ca="1">IF(tbl_part1[[#This Row],[objective_index]]="","",demographics[uniquepersonnelid])</f>
        <v>REG4A-01-301418-4363744</v>
      </c>
      <c r="B14" t="str">
        <f>IF(tbl_part1[[#This Row],[objective_index]]="","","SY "&amp;sy_start&amp;"-"&amp;sy_end)</f>
        <v>SY 2023-2024</v>
      </c>
      <c r="C14" t="str">
        <f>IF(tbl_part1[[#This Row],[objective_index]]="","",career_stage)</f>
        <v>P</v>
      </c>
      <c r="D14" t="str">
        <f>IF(tbl_part1[[#This Row],[objective_index]]="","",teacher_type)</f>
        <v>R</v>
      </c>
      <c r="E14" cm="1">
        <f t="array" ref="E14">IFERROR(SMALL(IF((INDEX(encoding_active_rows,,)),MATCH(ROW(encoding_active_rows),ROW(encoding_active_rows)),""),ROW(tbl_part1[[#This Row],[uniquepersonnelid]])-1),"")</f>
        <v>35</v>
      </c>
      <c r="F14" t="str" cm="1">
        <f t="array" ref="F14">IF(tbl_part1[[#This Row],[objective_index]]="","",INDEX(coi_ncoi_select,tbl_part1[[#This Row],[objective_index]],1))</f>
        <v>7.3.2</v>
      </c>
      <c r="G14" s="50">
        <f>IF(tbl_part1[[#This Row],[objective_index]]="","",IF(INDEX(Part1_data,tbl_part1[[#This Row],[objective_index]],1)=0,"",INDEX(Part1_data,tbl_part1[[#This Row],[objective_index]],1)))</f>
        <v>4</v>
      </c>
      <c r="H14" s="50" t="str">
        <f>IF(tbl_part1[[#This Row],[objective_index]]="","",IF(INDEX(Part1_data,tbl_part1[[#This Row],[objective_index]],2)=0,"",INDEX(Part1_data,tbl_part1[[#This Row],[objective_index]],2)))</f>
        <v/>
      </c>
      <c r="I14" s="50">
        <f>IF(tbl_part1[[#This Row],[objective_index]]="","",IF(INDEX(Part1_data,tbl_part1[[#This Row],[objective_index]],3)=0,"",INDEX(Part1_data,tbl_part1[[#This Row],[objective_index]],3)))</f>
        <v>3</v>
      </c>
      <c r="J14" s="216" cm="1">
        <f t="array" ref="J14">IF(tbl_part1[[#This Row],[objective_index]]="","",INDEX(Part1_data,tbl_part1[[#This Row],[objective_index]],4))</f>
        <v>3.5</v>
      </c>
      <c r="K14" s="372" cm="1">
        <f t="array" ref="K14">IF(tbl_part1[[#This Row],[objective_index]]="","",INDEX(encoding_weights,tbl_part1[[#This Row],[objective_index]]))</f>
        <v>7.0000000000000007E-2</v>
      </c>
      <c r="L14" s="216" cm="1">
        <f t="array" ref="L14">IF(tbl_part1[[#This Row],[objective_index]]="","",INDEX(Part1_data,tbl_part1[[#This Row],[objective_index]],5))</f>
        <v>0.245</v>
      </c>
      <c r="M14" s="50" t="str" cm="1">
        <f t="array" ref="M14">IF(tbl_part1[[#This Row],[objective_index]]="","",INDEX(Part1_data,tbl_part1[[#This Row],[objective_index]],6))</f>
        <v>Very Satisfactory</v>
      </c>
    </row>
    <row r="15" spans="1:13" x14ac:dyDescent="0.25">
      <c r="A15" t="str" cm="1">
        <f t="array" aca="1" ref="A15" ca="1">IF(tbl_part1[[#This Row],[objective_index]]="","",demographics[uniquepersonnelid])</f>
        <v>REG4A-01-301418-4363744</v>
      </c>
      <c r="B15" t="str">
        <f>IF(tbl_part1[[#This Row],[objective_index]]="","","SY "&amp;sy_start&amp;"-"&amp;sy_end)</f>
        <v>SY 2023-2024</v>
      </c>
      <c r="C15" t="str">
        <f>IF(tbl_part1[[#This Row],[objective_index]]="","",career_stage)</f>
        <v>P</v>
      </c>
      <c r="D15" t="str">
        <f>IF(tbl_part1[[#This Row],[objective_index]]="","",teacher_type)</f>
        <v>R</v>
      </c>
      <c r="E15" cm="1">
        <f t="array" ref="E15">IFERROR(SMALL(IF((INDEX(encoding_active_rows,,)),MATCH(ROW(encoding_active_rows),ROW(encoding_active_rows)),""),ROW(tbl_part1[[#This Row],[uniquepersonnelid]])-1),"")</f>
        <v>36</v>
      </c>
      <c r="F15" t="str" cm="1">
        <f t="array" ref="F15">IF(tbl_part1[[#This Row],[objective_index]]="","",INDEX(coi_ncoi_select,tbl_part1[[#This Row],[objective_index]],1))</f>
        <v>7.4.2</v>
      </c>
      <c r="G15" s="50">
        <f>IF(tbl_part1[[#This Row],[objective_index]]="","",IF(INDEX(Part1_data,tbl_part1[[#This Row],[objective_index]],1)=0,"",INDEX(Part1_data,tbl_part1[[#This Row],[objective_index]],1)))</f>
        <v>4</v>
      </c>
      <c r="H15" s="50">
        <f>IF(tbl_part1[[#This Row],[objective_index]]="","",IF(INDEX(Part1_data,tbl_part1[[#This Row],[objective_index]],2)=0,"",INDEX(Part1_data,tbl_part1[[#This Row],[objective_index]],2)))</f>
        <v>3</v>
      </c>
      <c r="I15" s="50">
        <f>IF(tbl_part1[[#This Row],[objective_index]]="","",IF(INDEX(Part1_data,tbl_part1[[#This Row],[objective_index]],3)=0,"",INDEX(Part1_data,tbl_part1[[#This Row],[objective_index]],3)))</f>
        <v>4</v>
      </c>
      <c r="J15" s="216" cm="1">
        <f t="array" ref="J15">IF(tbl_part1[[#This Row],[objective_index]]="","",INDEX(Part1_data,tbl_part1[[#This Row],[objective_index]],4))</f>
        <v>3.6659999999999999</v>
      </c>
      <c r="K15" s="372" cm="1">
        <f t="array" ref="K15">IF(tbl_part1[[#This Row],[objective_index]]="","",INDEX(encoding_weights,tbl_part1[[#This Row],[objective_index]]))</f>
        <v>7.0000000000000007E-2</v>
      </c>
      <c r="L15" s="216" cm="1">
        <f t="array" ref="L15">IF(tbl_part1[[#This Row],[objective_index]]="","",INDEX(Part1_data,tbl_part1[[#This Row],[objective_index]],5))</f>
        <v>0.25600000000000001</v>
      </c>
      <c r="M15" s="50" t="str" cm="1">
        <f t="array" ref="M15">IF(tbl_part1[[#This Row],[objective_index]]="","",INDEX(Part1_data,tbl_part1[[#This Row],[objective_index]],6))</f>
        <v>Very Satisfactory</v>
      </c>
    </row>
    <row r="16" spans="1:13" x14ac:dyDescent="0.25">
      <c r="A16" t="str" cm="1">
        <f t="array" aca="1" ref="A16" ca="1">IF(tbl_part1[[#This Row],[objective_index]]="","",demographics[uniquepersonnelid])</f>
        <v>REG4A-01-301418-4363744</v>
      </c>
      <c r="B16" t="str">
        <f>IF(tbl_part1[[#This Row],[objective_index]]="","","SY "&amp;sy_start&amp;"-"&amp;sy_end)</f>
        <v>SY 2023-2024</v>
      </c>
      <c r="C16" t="str">
        <f>IF(tbl_part1[[#This Row],[objective_index]]="","",career_stage)</f>
        <v>P</v>
      </c>
      <c r="D16" t="str">
        <f>IF(tbl_part1[[#This Row],[objective_index]]="","",teacher_type)</f>
        <v>R</v>
      </c>
      <c r="E16" cm="1">
        <f t="array" ref="E16">IFERROR(SMALL(IF((INDEX(encoding_active_rows,,)),MATCH(ROW(encoding_active_rows),ROW(encoding_active_rows)),""),ROW(tbl_part1[[#This Row],[uniquepersonnelid]])-1),"")</f>
        <v>38</v>
      </c>
      <c r="F16" cm="1">
        <f t="array" ref="F16">IF(tbl_part1[[#This Row],[objective_index]]="","",INDEX(coi_ncoi_select,tbl_part1[[#This Row],[objective_index]],1))</f>
        <v>15</v>
      </c>
      <c r="G16" s="50">
        <f>IF(tbl_part1[[#This Row],[objective_index]]="","",IF(INDEX(Part1_data,tbl_part1[[#This Row],[objective_index]],1)=0,"",INDEX(Part1_data,tbl_part1[[#This Row],[objective_index]],1)))</f>
        <v>4</v>
      </c>
      <c r="H16" s="50">
        <f>IF(tbl_part1[[#This Row],[objective_index]]="","",IF(INDEX(Part1_data,tbl_part1[[#This Row],[objective_index]],2)=0,"",INDEX(Part1_data,tbl_part1[[#This Row],[objective_index]],2)))</f>
        <v>3</v>
      </c>
      <c r="I16" s="50">
        <f>IF(tbl_part1[[#This Row],[objective_index]]="","",IF(INDEX(Part1_data,tbl_part1[[#This Row],[objective_index]],3)=0,"",INDEX(Part1_data,tbl_part1[[#This Row],[objective_index]],3)))</f>
        <v>4</v>
      </c>
      <c r="J16" s="216" cm="1">
        <f t="array" ref="J16">IF(tbl_part1[[#This Row],[objective_index]]="","",INDEX(Part1_data,tbl_part1[[#This Row],[objective_index]],4))</f>
        <v>3.6659999999999999</v>
      </c>
      <c r="K16" s="372" cm="1">
        <f t="array" ref="K16">IF(tbl_part1[[#This Row],[objective_index]]="","",INDEX(encoding_weights,tbl_part1[[#This Row],[objective_index]]))</f>
        <v>0.02</v>
      </c>
      <c r="L16" s="216" cm="1">
        <f t="array" ref="L16">IF(tbl_part1[[#This Row],[objective_index]]="","",INDEX(Part1_data,tbl_part1[[#This Row],[objective_index]],5))</f>
        <v>7.2999999999999995E-2</v>
      </c>
      <c r="M16" s="50" t="str" cm="1">
        <f t="array" ref="M16">IF(tbl_part1[[#This Row],[objective_index]]="","",INDEX(Part1_data,tbl_part1[[#This Row],[objective_index]],6))</f>
        <v>Very Satisfactory</v>
      </c>
    </row>
    <row r="17" spans="1:13" x14ac:dyDescent="0.25">
      <c r="A17" t="str" cm="1">
        <f t="array" ref="A17">IF(tbl_part1[[#This Row],[objective_index]]="","",demographics[uniquepersonnelid])</f>
        <v/>
      </c>
      <c r="B17" t="str">
        <f>IF(tbl_part1[[#This Row],[objective_index]]="","","SY "&amp;sy_start&amp;"-"&amp;sy_end)</f>
        <v/>
      </c>
      <c r="C17" t="str">
        <f>IF(tbl_part1[[#This Row],[objective_index]]="","",career_stage)</f>
        <v/>
      </c>
      <c r="D17" t="str">
        <f>IF(tbl_part1[[#This Row],[objective_index]]="","",teacher_type)</f>
        <v/>
      </c>
      <c r="E17" t="str" cm="1">
        <f t="array" ref="E17">IFERROR(SMALL(IF((INDEX(encoding_active_rows,,)),MATCH(ROW(encoding_active_rows),ROW(encoding_active_rows)),""),ROW(tbl_part1[[#This Row],[uniquepersonnelid]])-1),"")</f>
        <v/>
      </c>
      <c r="F17" t="str" cm="1">
        <f t="array" ref="F17">IF(tbl_part1[[#This Row],[objective_index]]="","",INDEX(coi_ncoi_select,tbl_part1[[#This Row],[objective_index]],1))</f>
        <v/>
      </c>
      <c r="G17" s="50" t="str">
        <f>IF(tbl_part1[[#This Row],[objective_index]]="","",IF(INDEX(Part1_data,tbl_part1[[#This Row],[objective_index]],1)=0,"",INDEX(Part1_data,tbl_part1[[#This Row],[objective_index]],1)))</f>
        <v/>
      </c>
      <c r="H17" s="50" t="str">
        <f>IF(tbl_part1[[#This Row],[objective_index]]="","",IF(INDEX(Part1_data,tbl_part1[[#This Row],[objective_index]],2)=0,"",INDEX(Part1_data,tbl_part1[[#This Row],[objective_index]],2)))</f>
        <v/>
      </c>
      <c r="I17" s="50" t="str">
        <f>IF(tbl_part1[[#This Row],[objective_index]]="","",IF(INDEX(Part1_data,tbl_part1[[#This Row],[objective_index]],3)=0,"",INDEX(Part1_data,tbl_part1[[#This Row],[objective_index]],3)))</f>
        <v/>
      </c>
      <c r="J17" s="50" t="str" cm="1">
        <f t="array" ref="J17">IF(tbl_part1[[#This Row],[objective_index]]="","",INDEX(Part1_data,tbl_part1[[#This Row],[objective_index]],4))</f>
        <v/>
      </c>
      <c r="K17" s="372" t="str" cm="1">
        <f t="array" ref="K17">IF(tbl_part1[[#This Row],[objective_index]]="","",INDEX(encoding_weights,tbl_part1[[#This Row],[objective_index]]))</f>
        <v/>
      </c>
      <c r="L17" s="216" t="str" cm="1">
        <f t="array" ref="L17">IF(tbl_part1[[#This Row],[objective_index]]="","",INDEX(Part1_data,tbl_part1[[#This Row],[objective_index]],5))</f>
        <v/>
      </c>
      <c r="M17" s="50" t="str" cm="1">
        <f t="array" ref="M17">IF(tbl_part1[[#This Row],[objective_index]]="","",INDEX(Part1_data,tbl_part1[[#This Row],[objective_index]],6))</f>
        <v/>
      </c>
    </row>
    <row r="18" spans="1:13" x14ac:dyDescent="0.25">
      <c r="A18" t="str" cm="1">
        <f t="array" ref="A18">IF(tbl_part1[[#This Row],[objective_index]]="","",demographics[uniquepersonnelid])</f>
        <v/>
      </c>
      <c r="B18" t="str">
        <f>IF(tbl_part1[[#This Row],[objective_index]]="","","SY "&amp;sy_start&amp;"-"&amp;sy_end)</f>
        <v/>
      </c>
      <c r="C18" t="str">
        <f>IF(tbl_part1[[#This Row],[objective_index]]="","",career_stage)</f>
        <v/>
      </c>
      <c r="D18" t="str">
        <f>IF(tbl_part1[[#This Row],[objective_index]]="","",teacher_type)</f>
        <v/>
      </c>
      <c r="E18" t="str" cm="1">
        <f t="array" ref="E18">IFERROR(SMALL(IF((INDEX(encoding_active_rows,,)),MATCH(ROW(encoding_active_rows),ROW(encoding_active_rows)),""),ROW(tbl_part1[[#This Row],[uniquepersonnelid]])-1),"")</f>
        <v/>
      </c>
      <c r="F18" t="str" cm="1">
        <f t="array" ref="F18">IF(tbl_part1[[#This Row],[objective_index]]="","",INDEX(coi_ncoi_select,tbl_part1[[#This Row],[objective_index]],1))</f>
        <v/>
      </c>
      <c r="G18" s="50" t="str">
        <f>IF(tbl_part1[[#This Row],[objective_index]]="","",IF(INDEX(Part1_data,tbl_part1[[#This Row],[objective_index]],1)=0,"",INDEX(Part1_data,tbl_part1[[#This Row],[objective_index]],1)))</f>
        <v/>
      </c>
      <c r="H18" s="50" t="str">
        <f>IF(tbl_part1[[#This Row],[objective_index]]="","",IF(INDEX(Part1_data,tbl_part1[[#This Row],[objective_index]],2)=0,"",INDEX(Part1_data,tbl_part1[[#This Row],[objective_index]],2)))</f>
        <v/>
      </c>
      <c r="I18" s="50" t="str">
        <f>IF(tbl_part1[[#This Row],[objective_index]]="","",IF(INDEX(Part1_data,tbl_part1[[#This Row],[objective_index]],3)=0,"",INDEX(Part1_data,tbl_part1[[#This Row],[objective_index]],3)))</f>
        <v/>
      </c>
      <c r="J18" s="50" t="str" cm="1">
        <f t="array" ref="J18">IF(tbl_part1[[#This Row],[objective_index]]="","",INDEX(Part1_data,tbl_part1[[#This Row],[objective_index]],4))</f>
        <v/>
      </c>
      <c r="K18" s="372" t="str" cm="1">
        <f t="array" ref="K18">IF(tbl_part1[[#This Row],[objective_index]]="","",INDEX(encoding_weights,tbl_part1[[#This Row],[objective_index]]))</f>
        <v/>
      </c>
      <c r="L18" s="216" t="str" cm="1">
        <f t="array" ref="L18">IF(tbl_part1[[#This Row],[objective_index]]="","",INDEX(Part1_data,tbl_part1[[#This Row],[objective_index]],5))</f>
        <v/>
      </c>
      <c r="M18" s="50" t="str" cm="1">
        <f t="array" ref="M18">IF(tbl_part1[[#This Row],[objective_index]]="","",INDEX(Part1_data,tbl_part1[[#This Row],[objective_index]],6))</f>
        <v/>
      </c>
    </row>
    <row r="19" spans="1:13" x14ac:dyDescent="0.25">
      <c r="A19" t="str" cm="1">
        <f t="array" ref="A19">IF(tbl_part1[[#This Row],[objective_index]]="","",demographics[uniquepersonnelid])</f>
        <v/>
      </c>
      <c r="B19" t="str">
        <f>IF(tbl_part1[[#This Row],[objective_index]]="","","SY "&amp;sy_start&amp;"-"&amp;sy_end)</f>
        <v/>
      </c>
      <c r="C19" t="str">
        <f>IF(tbl_part1[[#This Row],[objective_index]]="","",career_stage)</f>
        <v/>
      </c>
      <c r="D19" t="str">
        <f>IF(tbl_part1[[#This Row],[objective_index]]="","",teacher_type)</f>
        <v/>
      </c>
      <c r="E19" t="str" cm="1">
        <f t="array" ref="E19">IFERROR(SMALL(IF((INDEX(encoding_active_rows,,)),MATCH(ROW(encoding_active_rows),ROW(encoding_active_rows)),""),ROW(tbl_part1[[#This Row],[uniquepersonnelid]])-1),"")</f>
        <v/>
      </c>
      <c r="F19" t="str" cm="1">
        <f t="array" ref="F19">IF(tbl_part1[[#This Row],[objective_index]]="","",INDEX(coi_ncoi_select,tbl_part1[[#This Row],[objective_index]],1))</f>
        <v/>
      </c>
      <c r="G19" s="50" t="str">
        <f>IF(tbl_part1[[#This Row],[objective_index]]="","",IF(INDEX(Part1_data,tbl_part1[[#This Row],[objective_index]],1)=0,"",INDEX(Part1_data,tbl_part1[[#This Row],[objective_index]],1)))</f>
        <v/>
      </c>
      <c r="H19" s="50" t="str">
        <f>IF(tbl_part1[[#This Row],[objective_index]]="","",IF(INDEX(Part1_data,tbl_part1[[#This Row],[objective_index]],2)=0,"",INDEX(Part1_data,tbl_part1[[#This Row],[objective_index]],2)))</f>
        <v/>
      </c>
      <c r="I19" s="50" t="str">
        <f>IF(tbl_part1[[#This Row],[objective_index]]="","",IF(INDEX(Part1_data,tbl_part1[[#This Row],[objective_index]],3)=0,"",INDEX(Part1_data,tbl_part1[[#This Row],[objective_index]],3)))</f>
        <v/>
      </c>
      <c r="J19" s="50" t="str" cm="1">
        <f t="array" ref="J19">IF(tbl_part1[[#This Row],[objective_index]]="","",INDEX(Part1_data,tbl_part1[[#This Row],[objective_index]],4))</f>
        <v/>
      </c>
      <c r="K19" s="372" t="str" cm="1">
        <f t="array" ref="K19">IF(tbl_part1[[#This Row],[objective_index]]="","",INDEX(encoding_weights,tbl_part1[[#This Row],[objective_index]]))</f>
        <v/>
      </c>
      <c r="L19" s="216" t="str" cm="1">
        <f t="array" ref="L19">IF(tbl_part1[[#This Row],[objective_index]]="","",INDEX(Part1_data,tbl_part1[[#This Row],[objective_index]],5))</f>
        <v/>
      </c>
      <c r="M19" s="50" t="str" cm="1">
        <f t="array" ref="M19">IF(tbl_part1[[#This Row],[objective_index]]="","",INDEX(Part1_data,tbl_part1[[#This Row],[objective_index]],6))</f>
        <v/>
      </c>
    </row>
    <row r="20" spans="1:13" x14ac:dyDescent="0.25">
      <c r="A20" t="str" cm="1">
        <f t="array" ref="A20">IF(tbl_part1[[#This Row],[objective_index]]="","",demographics[uniquepersonnelid])</f>
        <v/>
      </c>
      <c r="B20" t="str">
        <f>IF(tbl_part1[[#This Row],[objective_index]]="","","SY "&amp;sy_start&amp;"-"&amp;sy_end)</f>
        <v/>
      </c>
      <c r="C20" t="str">
        <f>IF(tbl_part1[[#This Row],[objective_index]]="","",career_stage)</f>
        <v/>
      </c>
      <c r="D20" t="str">
        <f>IF(tbl_part1[[#This Row],[objective_index]]="","",teacher_type)</f>
        <v/>
      </c>
      <c r="E20" t="str" cm="1">
        <f t="array" ref="E20">IFERROR(SMALL(IF((INDEX(encoding_active_rows,,)),MATCH(ROW(encoding_active_rows),ROW(encoding_active_rows)),""),ROW(tbl_part1[[#This Row],[uniquepersonnelid]])-1),"")</f>
        <v/>
      </c>
      <c r="F20" t="str" cm="1">
        <f t="array" ref="F20">IF(tbl_part1[[#This Row],[objective_index]]="","",INDEX(coi_ncoi_select,tbl_part1[[#This Row],[objective_index]],1))</f>
        <v/>
      </c>
      <c r="G20" s="50" t="str">
        <f>IF(tbl_part1[[#This Row],[objective_index]]="","",IF(INDEX(Part1_data,tbl_part1[[#This Row],[objective_index]],1)=0,"",INDEX(Part1_data,tbl_part1[[#This Row],[objective_index]],1)))</f>
        <v/>
      </c>
      <c r="H20" s="50" t="str">
        <f>IF(tbl_part1[[#This Row],[objective_index]]="","",IF(INDEX(Part1_data,tbl_part1[[#This Row],[objective_index]],2)=0,"",INDEX(Part1_data,tbl_part1[[#This Row],[objective_index]],2)))</f>
        <v/>
      </c>
      <c r="I20" s="50" t="str">
        <f>IF(tbl_part1[[#This Row],[objective_index]]="","",IF(INDEX(Part1_data,tbl_part1[[#This Row],[objective_index]],3)=0,"",INDEX(Part1_data,tbl_part1[[#This Row],[objective_index]],3)))</f>
        <v/>
      </c>
      <c r="J20" s="50" t="str" cm="1">
        <f t="array" ref="J20">IF(tbl_part1[[#This Row],[objective_index]]="","",INDEX(Part1_data,tbl_part1[[#This Row],[objective_index]],4))</f>
        <v/>
      </c>
      <c r="K20" s="372" t="str" cm="1">
        <f t="array" ref="K20">IF(tbl_part1[[#This Row],[objective_index]]="","",INDEX(encoding_weights,tbl_part1[[#This Row],[objective_index]]))</f>
        <v/>
      </c>
      <c r="L20" s="216" t="str" cm="1">
        <f t="array" ref="L20">IF(tbl_part1[[#This Row],[objective_index]]="","",INDEX(Part1_data,tbl_part1[[#This Row],[objective_index]],5))</f>
        <v/>
      </c>
      <c r="M20" s="50" t="str" cm="1">
        <f t="array" ref="M20">IF(tbl_part1[[#This Row],[objective_index]]="","",INDEX(Part1_data,tbl_part1[[#This Row],[objective_index]],6))</f>
        <v/>
      </c>
    </row>
    <row r="21" spans="1:13" x14ac:dyDescent="0.25">
      <c r="A21" t="str" cm="1">
        <f t="array" ref="A21">IF(tbl_part1[[#This Row],[objective_index]]="","",demographics[uniquepersonnelid])</f>
        <v/>
      </c>
      <c r="B21" t="str">
        <f>IF(tbl_part1[[#This Row],[objective_index]]="","","SY "&amp;sy_start&amp;"-"&amp;sy_end)</f>
        <v/>
      </c>
      <c r="C21" t="str">
        <f>IF(tbl_part1[[#This Row],[objective_index]]="","",career_stage)</f>
        <v/>
      </c>
      <c r="D21" t="str">
        <f>IF(tbl_part1[[#This Row],[objective_index]]="","",teacher_type)</f>
        <v/>
      </c>
      <c r="E21" t="str" cm="1">
        <f t="array" ref="E21">IFERROR(SMALL(IF((INDEX(encoding_active_rows,,)),MATCH(ROW(encoding_active_rows),ROW(encoding_active_rows)),""),ROW(tbl_part1[[#This Row],[uniquepersonnelid]])-1),"")</f>
        <v/>
      </c>
      <c r="F21" t="str" cm="1">
        <f t="array" ref="F21">IF(tbl_part1[[#This Row],[objective_index]]="","",INDEX(coi_ncoi_select,tbl_part1[[#This Row],[objective_index]],1))</f>
        <v/>
      </c>
      <c r="G21" s="50" t="str">
        <f>IF(tbl_part1[[#This Row],[objective_index]]="","",IF(INDEX(Part1_data,tbl_part1[[#This Row],[objective_index]],1)=0,"",INDEX(Part1_data,tbl_part1[[#This Row],[objective_index]],1)))</f>
        <v/>
      </c>
      <c r="H21" s="50" t="str">
        <f>IF(tbl_part1[[#This Row],[objective_index]]="","",IF(INDEX(Part1_data,tbl_part1[[#This Row],[objective_index]],2)=0,"",INDEX(Part1_data,tbl_part1[[#This Row],[objective_index]],2)))</f>
        <v/>
      </c>
      <c r="I21" s="50" t="str">
        <f>IF(tbl_part1[[#This Row],[objective_index]]="","",IF(INDEX(Part1_data,tbl_part1[[#This Row],[objective_index]],3)=0,"",INDEX(Part1_data,tbl_part1[[#This Row],[objective_index]],3)))</f>
        <v/>
      </c>
      <c r="J21" s="50" t="str" cm="1">
        <f t="array" ref="J21">IF(tbl_part1[[#This Row],[objective_index]]="","",INDEX(Part1_data,tbl_part1[[#This Row],[objective_index]],4))</f>
        <v/>
      </c>
      <c r="K21" s="372" t="str" cm="1">
        <f t="array" ref="K21">IF(tbl_part1[[#This Row],[objective_index]]="","",INDEX(encoding_weights,tbl_part1[[#This Row],[objective_index]]))</f>
        <v/>
      </c>
      <c r="L21" s="216" t="str" cm="1">
        <f t="array" ref="L21">IF(tbl_part1[[#This Row],[objective_index]]="","",INDEX(Part1_data,tbl_part1[[#This Row],[objective_index]],5))</f>
        <v/>
      </c>
      <c r="M21" s="50" t="str" cm="1">
        <f t="array" ref="M21">IF(tbl_part1[[#This Row],[objective_index]]="","",INDEX(Part1_data,tbl_part1[[#This Row],[objective_index]],6))</f>
        <v/>
      </c>
    </row>
    <row r="22" spans="1:13" x14ac:dyDescent="0.25">
      <c r="A22" t="str" cm="1">
        <f t="array" ref="A22">IF(tbl_part1[[#This Row],[objective_index]]="","",demographics[uniquepersonnelid])</f>
        <v/>
      </c>
      <c r="B22" t="str">
        <f>IF(tbl_part1[[#This Row],[objective_index]]="","","SY "&amp;sy_start&amp;"-"&amp;sy_end)</f>
        <v/>
      </c>
      <c r="C22" t="str">
        <f>IF(tbl_part1[[#This Row],[objective_index]]="","",career_stage)</f>
        <v/>
      </c>
      <c r="D22" t="str">
        <f>IF(tbl_part1[[#This Row],[objective_index]]="","",teacher_type)</f>
        <v/>
      </c>
      <c r="E22" t="str" cm="1">
        <f t="array" ref="E22">IFERROR(SMALL(IF((INDEX(encoding_active_rows,,)),MATCH(ROW(encoding_active_rows),ROW(encoding_active_rows)),""),ROW(tbl_part1[[#This Row],[uniquepersonnelid]])-1),"")</f>
        <v/>
      </c>
      <c r="F22" t="str" cm="1">
        <f t="array" ref="F22">IF(tbl_part1[[#This Row],[objective_index]]="","",INDEX(coi_ncoi_select,tbl_part1[[#This Row],[objective_index]],1))</f>
        <v/>
      </c>
      <c r="G22" s="50" t="str">
        <f>IF(tbl_part1[[#This Row],[objective_index]]="","",IF(INDEX(Part1_data,tbl_part1[[#This Row],[objective_index]],1)=0,"",INDEX(Part1_data,tbl_part1[[#This Row],[objective_index]],1)))</f>
        <v/>
      </c>
      <c r="H22" s="50" t="str">
        <f>IF(tbl_part1[[#This Row],[objective_index]]="","",IF(INDEX(Part1_data,tbl_part1[[#This Row],[objective_index]],2)=0,"",INDEX(Part1_data,tbl_part1[[#This Row],[objective_index]],2)))</f>
        <v/>
      </c>
      <c r="I22" s="50" t="str">
        <f>IF(tbl_part1[[#This Row],[objective_index]]="","",IF(INDEX(Part1_data,tbl_part1[[#This Row],[objective_index]],3)=0,"",INDEX(Part1_data,tbl_part1[[#This Row],[objective_index]],3)))</f>
        <v/>
      </c>
      <c r="J22" s="50" t="str" cm="1">
        <f t="array" ref="J22">IF(tbl_part1[[#This Row],[objective_index]]="","",INDEX(Part1_data,tbl_part1[[#This Row],[objective_index]],4))</f>
        <v/>
      </c>
      <c r="K22" s="372" t="str" cm="1">
        <f t="array" ref="K22">IF(tbl_part1[[#This Row],[objective_index]]="","",INDEX(encoding_weights,tbl_part1[[#This Row],[objective_index]]))</f>
        <v/>
      </c>
      <c r="L22" s="216" t="str" cm="1">
        <f t="array" ref="L22">IF(tbl_part1[[#This Row],[objective_index]]="","",INDEX(Part1_data,tbl_part1[[#This Row],[objective_index]],5))</f>
        <v/>
      </c>
      <c r="M22" s="50" t="str" cm="1">
        <f t="array" ref="M22">IF(tbl_part1[[#This Row],[objective_index]]="","",INDEX(Part1_data,tbl_part1[[#This Row],[objective_index]],6))</f>
        <v/>
      </c>
    </row>
    <row r="23" spans="1:13" x14ac:dyDescent="0.25">
      <c r="A23" t="str" cm="1">
        <f t="array" ref="A23">IF(tbl_part1[[#This Row],[objective_index]]="","",demographics[uniquepersonnelid])</f>
        <v/>
      </c>
      <c r="B23" t="str">
        <f>IF(tbl_part1[[#This Row],[objective_index]]="","","SY "&amp;sy_start&amp;"-"&amp;sy_end)</f>
        <v/>
      </c>
      <c r="C23" t="str">
        <f>IF(tbl_part1[[#This Row],[objective_index]]="","",career_stage)</f>
        <v/>
      </c>
      <c r="D23" t="str">
        <f>IF(tbl_part1[[#This Row],[objective_index]]="","",teacher_type)</f>
        <v/>
      </c>
      <c r="E23" t="str" cm="1">
        <f t="array" ref="E23">IFERROR(SMALL(IF((INDEX(encoding_active_rows,,)),MATCH(ROW(encoding_active_rows),ROW(encoding_active_rows)),""),ROW(tbl_part1[[#This Row],[uniquepersonnelid]])-1),"")</f>
        <v/>
      </c>
      <c r="F23" t="str" cm="1">
        <f t="array" ref="F23">IF(tbl_part1[[#This Row],[objective_index]]="","",INDEX(coi_ncoi_select,tbl_part1[[#This Row],[objective_index]],1))</f>
        <v/>
      </c>
      <c r="G23" s="50" t="str">
        <f>IF(tbl_part1[[#This Row],[objective_index]]="","",IF(INDEX(Part1_data,tbl_part1[[#This Row],[objective_index]],1)=0,"",INDEX(Part1_data,tbl_part1[[#This Row],[objective_index]],1)))</f>
        <v/>
      </c>
      <c r="H23" s="50" t="str">
        <f>IF(tbl_part1[[#This Row],[objective_index]]="","",IF(INDEX(Part1_data,tbl_part1[[#This Row],[objective_index]],2)=0,"",INDEX(Part1_data,tbl_part1[[#This Row],[objective_index]],2)))</f>
        <v/>
      </c>
      <c r="I23" s="50" t="str">
        <f>IF(tbl_part1[[#This Row],[objective_index]]="","",IF(INDEX(Part1_data,tbl_part1[[#This Row],[objective_index]],3)=0,"",INDEX(Part1_data,tbl_part1[[#This Row],[objective_index]],3)))</f>
        <v/>
      </c>
      <c r="J23" s="50" t="str" cm="1">
        <f t="array" ref="J23">IF(tbl_part1[[#This Row],[objective_index]]="","",INDEX(Part1_data,tbl_part1[[#This Row],[objective_index]],4))</f>
        <v/>
      </c>
      <c r="K23" s="372" t="str" cm="1">
        <f t="array" ref="K23">IF(tbl_part1[[#This Row],[objective_index]]="","",INDEX(encoding_weights,tbl_part1[[#This Row],[objective_index]]))</f>
        <v/>
      </c>
      <c r="L23" s="216" t="str" cm="1">
        <f t="array" ref="L23">IF(tbl_part1[[#This Row],[objective_index]]="","",INDEX(Part1_data,tbl_part1[[#This Row],[objective_index]],5))</f>
        <v/>
      </c>
      <c r="M23" s="50" t="str" cm="1">
        <f t="array" ref="M23">IF(tbl_part1[[#This Row],[objective_index]]="","",INDEX(Part1_data,tbl_part1[[#This Row],[objective_index]],6))</f>
        <v/>
      </c>
    </row>
    <row r="24" spans="1:13" x14ac:dyDescent="0.25">
      <c r="A24" t="str" cm="1">
        <f t="array" ref="A24">IF(tbl_part1[[#This Row],[objective_index]]="","",demographics[uniquepersonnelid])</f>
        <v/>
      </c>
      <c r="B24" t="str">
        <f>IF(tbl_part1[[#This Row],[objective_index]]="","","SY "&amp;sy_start&amp;"-"&amp;sy_end)</f>
        <v/>
      </c>
      <c r="C24" t="str">
        <f>IF(tbl_part1[[#This Row],[objective_index]]="","",career_stage)</f>
        <v/>
      </c>
      <c r="D24" t="str">
        <f>IF(tbl_part1[[#This Row],[objective_index]]="","",teacher_type)</f>
        <v/>
      </c>
      <c r="E24" t="str" cm="1">
        <f t="array" ref="E24">IFERROR(SMALL(IF((INDEX(encoding_active_rows,,)),MATCH(ROW(encoding_active_rows),ROW(encoding_active_rows)),""),ROW(tbl_part1[[#This Row],[uniquepersonnelid]])-1),"")</f>
        <v/>
      </c>
      <c r="F24" t="str" cm="1">
        <f t="array" ref="F24">IF(tbl_part1[[#This Row],[objective_index]]="","",INDEX(coi_ncoi_select,tbl_part1[[#This Row],[objective_index]],1))</f>
        <v/>
      </c>
      <c r="G24" s="50" t="str">
        <f>IF(tbl_part1[[#This Row],[objective_index]]="","",IF(INDEX(Part1_data,tbl_part1[[#This Row],[objective_index]],1)=0,"",INDEX(Part1_data,tbl_part1[[#This Row],[objective_index]],1)))</f>
        <v/>
      </c>
      <c r="H24" s="50" t="str">
        <f>IF(tbl_part1[[#This Row],[objective_index]]="","",IF(INDEX(Part1_data,tbl_part1[[#This Row],[objective_index]],2)=0,"",INDEX(Part1_data,tbl_part1[[#This Row],[objective_index]],2)))</f>
        <v/>
      </c>
      <c r="I24" s="50" t="str">
        <f>IF(tbl_part1[[#This Row],[objective_index]]="","",IF(INDEX(Part1_data,tbl_part1[[#This Row],[objective_index]],3)=0,"",INDEX(Part1_data,tbl_part1[[#This Row],[objective_index]],3)))</f>
        <v/>
      </c>
      <c r="J24" s="50" t="str" cm="1">
        <f t="array" ref="J24">IF(tbl_part1[[#This Row],[objective_index]]="","",INDEX(Part1_data,tbl_part1[[#This Row],[objective_index]],4))</f>
        <v/>
      </c>
      <c r="K24" s="372" t="str" cm="1">
        <f t="array" ref="K24">IF(tbl_part1[[#This Row],[objective_index]]="","",INDEX(encoding_weights,tbl_part1[[#This Row],[objective_index]]))</f>
        <v/>
      </c>
      <c r="L24" s="216" t="str" cm="1">
        <f t="array" ref="L24">IF(tbl_part1[[#This Row],[objective_index]]="","",INDEX(Part1_data,tbl_part1[[#This Row],[objective_index]],5))</f>
        <v/>
      </c>
      <c r="M24" s="50" t="str" cm="1">
        <f t="array" ref="M24">IF(tbl_part1[[#This Row],[objective_index]]="","",INDEX(Part1_data,tbl_part1[[#This Row],[objective_index]],6))</f>
        <v/>
      </c>
    </row>
    <row r="25" spans="1:13" x14ac:dyDescent="0.25">
      <c r="A25" t="str" cm="1">
        <f t="array" ref="A25">IF(tbl_part1[[#This Row],[objective_index]]="","",demographics[uniquepersonnelid])</f>
        <v/>
      </c>
      <c r="B25" t="str">
        <f>IF(tbl_part1[[#This Row],[objective_index]]="","","SY "&amp;sy_start&amp;"-"&amp;sy_end)</f>
        <v/>
      </c>
      <c r="C25" t="str">
        <f>IF(tbl_part1[[#This Row],[objective_index]]="","",career_stage)</f>
        <v/>
      </c>
      <c r="D25" t="str">
        <f>IF(tbl_part1[[#This Row],[objective_index]]="","",teacher_type)</f>
        <v/>
      </c>
      <c r="E25" t="str" cm="1">
        <f t="array" ref="E25">IFERROR(SMALL(IF((INDEX(encoding_active_rows,,)),MATCH(ROW(encoding_active_rows),ROW(encoding_active_rows)),""),ROW(tbl_part1[[#This Row],[uniquepersonnelid]])-1),"")</f>
        <v/>
      </c>
      <c r="F25" t="str" cm="1">
        <f t="array" ref="F25">IF(tbl_part1[[#This Row],[objective_index]]="","",INDEX(coi_ncoi_select,tbl_part1[[#This Row],[objective_index]],1))</f>
        <v/>
      </c>
      <c r="G25" s="50" t="str">
        <f>IF(tbl_part1[[#This Row],[objective_index]]="","",IF(INDEX(Part1_data,tbl_part1[[#This Row],[objective_index]],1)=0,"",INDEX(Part1_data,tbl_part1[[#This Row],[objective_index]],1)))</f>
        <v/>
      </c>
      <c r="H25" s="50" t="str">
        <f>IF(tbl_part1[[#This Row],[objective_index]]="","",IF(INDEX(Part1_data,tbl_part1[[#This Row],[objective_index]],2)=0,"",INDEX(Part1_data,tbl_part1[[#This Row],[objective_index]],2)))</f>
        <v/>
      </c>
      <c r="I25" s="50" t="str">
        <f>IF(tbl_part1[[#This Row],[objective_index]]="","",IF(INDEX(Part1_data,tbl_part1[[#This Row],[objective_index]],3)=0,"",INDEX(Part1_data,tbl_part1[[#This Row],[objective_index]],3)))</f>
        <v/>
      </c>
      <c r="J25" s="50" t="str" cm="1">
        <f t="array" ref="J25">IF(tbl_part1[[#This Row],[objective_index]]="","",INDEX(Part1_data,tbl_part1[[#This Row],[objective_index]],4))</f>
        <v/>
      </c>
      <c r="K25" s="372" t="str" cm="1">
        <f t="array" ref="K25">IF(tbl_part1[[#This Row],[objective_index]]="","",INDEX(encoding_weights,tbl_part1[[#This Row],[objective_index]]))</f>
        <v/>
      </c>
      <c r="L25" s="216" t="str" cm="1">
        <f t="array" ref="L25">IF(tbl_part1[[#This Row],[objective_index]]="","",INDEX(Part1_data,tbl_part1[[#This Row],[objective_index]],5))</f>
        <v/>
      </c>
      <c r="M25" s="50" t="str" cm="1">
        <f t="array" ref="M25">IF(tbl_part1[[#This Row],[objective_index]]="","",INDEX(Part1_data,tbl_part1[[#This Row],[objective_index]],6))</f>
        <v/>
      </c>
    </row>
    <row r="26" spans="1:13" x14ac:dyDescent="0.25">
      <c r="A26" t="str" cm="1">
        <f t="array" ref="A26">IF(tbl_part1[[#This Row],[objective_index]]="","",demographics[uniquepersonnelid])</f>
        <v/>
      </c>
      <c r="B26" t="str">
        <f>IF(tbl_part1[[#This Row],[objective_index]]="","","SY "&amp;sy_start&amp;"-"&amp;sy_end)</f>
        <v/>
      </c>
      <c r="C26" t="str">
        <f>IF(tbl_part1[[#This Row],[objective_index]]="","",career_stage)</f>
        <v/>
      </c>
      <c r="D26" t="str">
        <f>IF(tbl_part1[[#This Row],[objective_index]]="","",teacher_type)</f>
        <v/>
      </c>
      <c r="E26" t="str" cm="1">
        <f t="array" ref="E26">IFERROR(SMALL(IF((INDEX(encoding_active_rows,,)),MATCH(ROW(encoding_active_rows),ROW(encoding_active_rows)),""),ROW(tbl_part1[[#This Row],[uniquepersonnelid]])-1),"")</f>
        <v/>
      </c>
      <c r="F26" t="str" cm="1">
        <f t="array" ref="F26">IF(tbl_part1[[#This Row],[objective_index]]="","",INDEX(coi_ncoi_select,tbl_part1[[#This Row],[objective_index]],1))</f>
        <v/>
      </c>
      <c r="G26" s="50" t="str">
        <f>IF(tbl_part1[[#This Row],[objective_index]]="","",IF(INDEX(Part1_data,tbl_part1[[#This Row],[objective_index]],1)=0,"",INDEX(Part1_data,tbl_part1[[#This Row],[objective_index]],1)))</f>
        <v/>
      </c>
      <c r="H26" s="50" t="str">
        <f>IF(tbl_part1[[#This Row],[objective_index]]="","",IF(INDEX(Part1_data,tbl_part1[[#This Row],[objective_index]],2)=0,"",INDEX(Part1_data,tbl_part1[[#This Row],[objective_index]],2)))</f>
        <v/>
      </c>
      <c r="I26" s="50" t="str">
        <f>IF(tbl_part1[[#This Row],[objective_index]]="","",IF(INDEX(Part1_data,tbl_part1[[#This Row],[objective_index]],3)=0,"",INDEX(Part1_data,tbl_part1[[#This Row],[objective_index]],3)))</f>
        <v/>
      </c>
      <c r="J26" s="50" t="str" cm="1">
        <f t="array" ref="J26">IF(tbl_part1[[#This Row],[objective_index]]="","",INDEX(Part1_data,tbl_part1[[#This Row],[objective_index]],4))</f>
        <v/>
      </c>
      <c r="K26" s="372" t="str" cm="1">
        <f t="array" ref="K26">IF(tbl_part1[[#This Row],[objective_index]]="","",INDEX(encoding_weights,tbl_part1[[#This Row],[objective_index]]))</f>
        <v/>
      </c>
      <c r="L26" s="216" t="str" cm="1">
        <f t="array" ref="L26">IF(tbl_part1[[#This Row],[objective_index]]="","",INDEX(Part1_data,tbl_part1[[#This Row],[objective_index]],5))</f>
        <v/>
      </c>
      <c r="M26" s="50" t="str" cm="1">
        <f t="array" ref="M26">IF(tbl_part1[[#This Row],[objective_index]]="","",INDEX(Part1_data,tbl_part1[[#This Row],[objective_index]],6))</f>
        <v/>
      </c>
    </row>
    <row r="27" spans="1:13" x14ac:dyDescent="0.25">
      <c r="A27" t="str" cm="1">
        <f t="array" ref="A27">IF(tbl_part1[[#This Row],[objective_index]]="","",demographics[uniquepersonnelid])</f>
        <v/>
      </c>
      <c r="B27" t="str">
        <f>IF(tbl_part1[[#This Row],[objective_index]]="","","SY "&amp;sy_start&amp;"-"&amp;sy_end)</f>
        <v/>
      </c>
      <c r="C27" t="str">
        <f>IF(tbl_part1[[#This Row],[objective_index]]="","",career_stage)</f>
        <v/>
      </c>
      <c r="D27" t="str">
        <f>IF(tbl_part1[[#This Row],[objective_index]]="","",teacher_type)</f>
        <v/>
      </c>
      <c r="E27" t="str" cm="1">
        <f t="array" ref="E27">IFERROR(SMALL(IF((INDEX(encoding_active_rows,,)),MATCH(ROW(encoding_active_rows),ROW(encoding_active_rows)),""),ROW(tbl_part1[[#This Row],[uniquepersonnelid]])-1),"")</f>
        <v/>
      </c>
      <c r="F27" t="str" cm="1">
        <f t="array" ref="F27">IF(tbl_part1[[#This Row],[objective_index]]="","",INDEX(coi_ncoi_select,tbl_part1[[#This Row],[objective_index]],1))</f>
        <v/>
      </c>
      <c r="G27" s="50" t="str">
        <f>IF(tbl_part1[[#This Row],[objective_index]]="","",IF(INDEX(Part1_data,tbl_part1[[#This Row],[objective_index]],1)=0,"",INDEX(Part1_data,tbl_part1[[#This Row],[objective_index]],1)))</f>
        <v/>
      </c>
      <c r="H27" s="50" t="str">
        <f>IF(tbl_part1[[#This Row],[objective_index]]="","",IF(INDEX(Part1_data,tbl_part1[[#This Row],[objective_index]],2)=0,"",INDEX(Part1_data,tbl_part1[[#This Row],[objective_index]],2)))</f>
        <v/>
      </c>
      <c r="I27" s="50" t="str">
        <f>IF(tbl_part1[[#This Row],[objective_index]]="","",IF(INDEX(Part1_data,tbl_part1[[#This Row],[objective_index]],3)=0,"",INDEX(Part1_data,tbl_part1[[#This Row],[objective_index]],3)))</f>
        <v/>
      </c>
      <c r="J27" s="50" t="str" cm="1">
        <f t="array" ref="J27">IF(tbl_part1[[#This Row],[objective_index]]="","",INDEX(Part1_data,tbl_part1[[#This Row],[objective_index]],4))</f>
        <v/>
      </c>
      <c r="K27" s="372" t="str" cm="1">
        <f t="array" ref="K27">IF(tbl_part1[[#This Row],[objective_index]]="","",INDEX(encoding_weights,tbl_part1[[#This Row],[objective_index]]))</f>
        <v/>
      </c>
      <c r="L27" s="216" t="str" cm="1">
        <f t="array" ref="L27">IF(tbl_part1[[#This Row],[objective_index]]="","",INDEX(Part1_data,tbl_part1[[#This Row],[objective_index]],5))</f>
        <v/>
      </c>
      <c r="M27" s="50" t="str" cm="1">
        <f t="array" ref="M27">IF(tbl_part1[[#This Row],[objective_index]]="","",INDEX(Part1_data,tbl_part1[[#This Row],[objective_index]],6))</f>
        <v/>
      </c>
    </row>
    <row r="28" spans="1:13" x14ac:dyDescent="0.25">
      <c r="A28" t="str" cm="1">
        <f t="array" ref="A28">IF(tbl_part1[[#This Row],[objective_index]]="","",demographics[uniquepersonnelid])</f>
        <v/>
      </c>
      <c r="B28" t="str">
        <f>IF(tbl_part1[[#This Row],[objective_index]]="","","SY "&amp;sy_start&amp;"-"&amp;sy_end)</f>
        <v/>
      </c>
      <c r="C28" t="str">
        <f>IF(tbl_part1[[#This Row],[objective_index]]="","",career_stage)</f>
        <v/>
      </c>
      <c r="D28" t="str">
        <f>IF(tbl_part1[[#This Row],[objective_index]]="","",teacher_type)</f>
        <v/>
      </c>
      <c r="E28" t="str" cm="1">
        <f t="array" ref="E28">IFERROR(SMALL(IF((INDEX(encoding_active_rows,,)),MATCH(ROW(encoding_active_rows),ROW(encoding_active_rows)),""),ROW(tbl_part1[[#This Row],[uniquepersonnelid]])-1),"")</f>
        <v/>
      </c>
      <c r="F28" t="str" cm="1">
        <f t="array" ref="F28">IF(tbl_part1[[#This Row],[objective_index]]="","",INDEX(coi_ncoi_select,tbl_part1[[#This Row],[objective_index]],1))</f>
        <v/>
      </c>
      <c r="G28" s="50" t="str">
        <f>IF(tbl_part1[[#This Row],[objective_index]]="","",IF(INDEX(Part1_data,tbl_part1[[#This Row],[objective_index]],1)=0,"",INDEX(Part1_data,tbl_part1[[#This Row],[objective_index]],1)))</f>
        <v/>
      </c>
      <c r="H28" s="50" t="str">
        <f>IF(tbl_part1[[#This Row],[objective_index]]="","",IF(INDEX(Part1_data,tbl_part1[[#This Row],[objective_index]],2)=0,"",INDEX(Part1_data,tbl_part1[[#This Row],[objective_index]],2)))</f>
        <v/>
      </c>
      <c r="I28" s="50" t="str">
        <f>IF(tbl_part1[[#This Row],[objective_index]]="","",IF(INDEX(Part1_data,tbl_part1[[#This Row],[objective_index]],3)=0,"",INDEX(Part1_data,tbl_part1[[#This Row],[objective_index]],3)))</f>
        <v/>
      </c>
      <c r="J28" s="50" t="str" cm="1">
        <f t="array" ref="J28">IF(tbl_part1[[#This Row],[objective_index]]="","",INDEX(Part1_data,tbl_part1[[#This Row],[objective_index]],4))</f>
        <v/>
      </c>
      <c r="K28" s="372" t="str" cm="1">
        <f t="array" ref="K28">IF(tbl_part1[[#This Row],[objective_index]]="","",INDEX(encoding_weights,tbl_part1[[#This Row],[objective_index]]))</f>
        <v/>
      </c>
      <c r="L28" s="216" t="str" cm="1">
        <f t="array" ref="L28">IF(tbl_part1[[#This Row],[objective_index]]="","",INDEX(Part1_data,tbl_part1[[#This Row],[objective_index]],5))</f>
        <v/>
      </c>
      <c r="M28" s="50" t="str" cm="1">
        <f t="array" ref="M28">IF(tbl_part1[[#This Row],[objective_index]]="","",INDEX(Part1_data,tbl_part1[[#This Row],[objective_index]],6))</f>
        <v/>
      </c>
    </row>
    <row r="29" spans="1:13" x14ac:dyDescent="0.25">
      <c r="A29" t="str" cm="1">
        <f t="array" ref="A29">IF(tbl_part1[[#This Row],[objective_index]]="","",demographics[uniquepersonnelid])</f>
        <v/>
      </c>
      <c r="B29" t="str">
        <f>IF(tbl_part1[[#This Row],[objective_index]]="","","SY "&amp;sy_start&amp;"-"&amp;sy_end)</f>
        <v/>
      </c>
      <c r="C29" t="str">
        <f>IF(tbl_part1[[#This Row],[objective_index]]="","",career_stage)</f>
        <v/>
      </c>
      <c r="D29" t="str">
        <f>IF(tbl_part1[[#This Row],[objective_index]]="","",teacher_type)</f>
        <v/>
      </c>
      <c r="E29" t="str" cm="1">
        <f t="array" ref="E29">IFERROR(SMALL(IF((INDEX(encoding_active_rows,,)),MATCH(ROW(encoding_active_rows),ROW(encoding_active_rows)),""),ROW(tbl_part1[[#This Row],[uniquepersonnelid]])-1),"")</f>
        <v/>
      </c>
      <c r="F29" t="str" cm="1">
        <f t="array" ref="F29">IF(tbl_part1[[#This Row],[objective_index]]="","",INDEX(coi_ncoi_select,tbl_part1[[#This Row],[objective_index]],1))</f>
        <v/>
      </c>
      <c r="G29" s="50" t="str">
        <f>IF(tbl_part1[[#This Row],[objective_index]]="","",IF(INDEX(Part1_data,tbl_part1[[#This Row],[objective_index]],1)=0,"",INDEX(Part1_data,tbl_part1[[#This Row],[objective_index]],1)))</f>
        <v/>
      </c>
      <c r="H29" s="50" t="str">
        <f>IF(tbl_part1[[#This Row],[objective_index]]="","",IF(INDEX(Part1_data,tbl_part1[[#This Row],[objective_index]],2)=0,"",INDEX(Part1_data,tbl_part1[[#This Row],[objective_index]],2)))</f>
        <v/>
      </c>
      <c r="I29" s="50" t="str">
        <f>IF(tbl_part1[[#This Row],[objective_index]]="","",IF(INDEX(Part1_data,tbl_part1[[#This Row],[objective_index]],3)=0,"",INDEX(Part1_data,tbl_part1[[#This Row],[objective_index]],3)))</f>
        <v/>
      </c>
      <c r="J29" s="50" t="str" cm="1">
        <f t="array" ref="J29">IF(tbl_part1[[#This Row],[objective_index]]="","",INDEX(Part1_data,tbl_part1[[#This Row],[objective_index]],4))</f>
        <v/>
      </c>
      <c r="K29" s="372" t="str" cm="1">
        <f t="array" ref="K29">IF(tbl_part1[[#This Row],[objective_index]]="","",INDEX(encoding_weights,tbl_part1[[#This Row],[objective_index]]))</f>
        <v/>
      </c>
      <c r="L29" s="216" t="str" cm="1">
        <f t="array" ref="L29">IF(tbl_part1[[#This Row],[objective_index]]="","",INDEX(Part1_data,tbl_part1[[#This Row],[objective_index]],5))</f>
        <v/>
      </c>
      <c r="M29" s="50" t="str" cm="1">
        <f t="array" ref="M29">IF(tbl_part1[[#This Row],[objective_index]]="","",INDEX(Part1_data,tbl_part1[[#This Row],[objective_index]],6))</f>
        <v/>
      </c>
    </row>
    <row r="30" spans="1:13" x14ac:dyDescent="0.25">
      <c r="A30" t="str" cm="1">
        <f t="array" ref="A30">IF(tbl_part1[[#This Row],[objective_index]]="","",demographics[uniquepersonnelid])</f>
        <v/>
      </c>
      <c r="B30" t="str">
        <f>IF(tbl_part1[[#This Row],[objective_index]]="","","SY "&amp;sy_start&amp;"-"&amp;sy_end)</f>
        <v/>
      </c>
      <c r="C30" t="str">
        <f>IF(tbl_part1[[#This Row],[objective_index]]="","",career_stage)</f>
        <v/>
      </c>
      <c r="D30" t="str">
        <f>IF(tbl_part1[[#This Row],[objective_index]]="","",teacher_type)</f>
        <v/>
      </c>
      <c r="E30" t="str" cm="1">
        <f t="array" ref="E30">IFERROR(SMALL(IF((INDEX(encoding_active_rows,,)),MATCH(ROW(encoding_active_rows),ROW(encoding_active_rows)),""),ROW(tbl_part1[[#This Row],[uniquepersonnelid]])-1),"")</f>
        <v/>
      </c>
      <c r="F30" t="str" cm="1">
        <f t="array" ref="F30">IF(tbl_part1[[#This Row],[objective_index]]="","",INDEX(coi_ncoi_select,tbl_part1[[#This Row],[objective_index]],1))</f>
        <v/>
      </c>
      <c r="G30" s="50" t="str">
        <f>IF(tbl_part1[[#This Row],[objective_index]]="","",IF(INDEX(Part1_data,tbl_part1[[#This Row],[objective_index]],1)=0,"",INDEX(Part1_data,tbl_part1[[#This Row],[objective_index]],1)))</f>
        <v/>
      </c>
      <c r="H30" s="50" t="str">
        <f>IF(tbl_part1[[#This Row],[objective_index]]="","",IF(INDEX(Part1_data,tbl_part1[[#This Row],[objective_index]],2)=0,"",INDEX(Part1_data,tbl_part1[[#This Row],[objective_index]],2)))</f>
        <v/>
      </c>
      <c r="I30" s="50" t="str">
        <f>IF(tbl_part1[[#This Row],[objective_index]]="","",IF(INDEX(Part1_data,tbl_part1[[#This Row],[objective_index]],3)=0,"",INDEX(Part1_data,tbl_part1[[#This Row],[objective_index]],3)))</f>
        <v/>
      </c>
      <c r="J30" s="50" t="str" cm="1">
        <f t="array" ref="J30">IF(tbl_part1[[#This Row],[objective_index]]="","",INDEX(Part1_data,tbl_part1[[#This Row],[objective_index]],4))</f>
        <v/>
      </c>
      <c r="K30" s="372" t="str" cm="1">
        <f t="array" ref="K30">IF(tbl_part1[[#This Row],[objective_index]]="","",INDEX(encoding_weights,tbl_part1[[#This Row],[objective_index]]))</f>
        <v/>
      </c>
      <c r="L30" s="216" t="str" cm="1">
        <f t="array" ref="L30">IF(tbl_part1[[#This Row],[objective_index]]="","",INDEX(Part1_data,tbl_part1[[#This Row],[objective_index]],5))</f>
        <v/>
      </c>
      <c r="M30" s="50" t="str" cm="1">
        <f t="array" ref="M30">IF(tbl_part1[[#This Row],[objective_index]]="","",INDEX(Part1_data,tbl_part1[[#This Row],[objective_index]],6))</f>
        <v/>
      </c>
    </row>
    <row r="31" spans="1:13" x14ac:dyDescent="0.25">
      <c r="A31" t="str" cm="1">
        <f t="array" ref="A31">IF(tbl_part1[[#This Row],[objective_index]]="","",demographics[uniquepersonnelid])</f>
        <v/>
      </c>
      <c r="B31" t="str">
        <f>IF(tbl_part1[[#This Row],[objective_index]]="","","SY "&amp;sy_start&amp;"-"&amp;sy_end)</f>
        <v/>
      </c>
      <c r="C31" t="str">
        <f>IF(tbl_part1[[#This Row],[objective_index]]="","",career_stage)</f>
        <v/>
      </c>
      <c r="D31" t="str">
        <f>IF(tbl_part1[[#This Row],[objective_index]]="","",teacher_type)</f>
        <v/>
      </c>
      <c r="E31" t="str" cm="1">
        <f t="array" ref="E31">IFERROR(SMALL(IF((INDEX(encoding_active_rows,,)),MATCH(ROW(encoding_active_rows),ROW(encoding_active_rows)),""),ROW(tbl_part1[[#This Row],[uniquepersonnelid]])-1),"")</f>
        <v/>
      </c>
      <c r="F31" t="str" cm="1">
        <f t="array" ref="F31">IF(tbl_part1[[#This Row],[objective_index]]="","",INDEX(coi_ncoi_select,tbl_part1[[#This Row],[objective_index]],1))</f>
        <v/>
      </c>
      <c r="G31" s="50" t="str">
        <f>IF(tbl_part1[[#This Row],[objective_index]]="","",IF(INDEX(Part1_data,tbl_part1[[#This Row],[objective_index]],1)=0,"",INDEX(Part1_data,tbl_part1[[#This Row],[objective_index]],1)))</f>
        <v/>
      </c>
      <c r="H31" s="50" t="str">
        <f>IF(tbl_part1[[#This Row],[objective_index]]="","",IF(INDEX(Part1_data,tbl_part1[[#This Row],[objective_index]],2)=0,"",INDEX(Part1_data,tbl_part1[[#This Row],[objective_index]],2)))</f>
        <v/>
      </c>
      <c r="I31" s="50" t="str">
        <f>IF(tbl_part1[[#This Row],[objective_index]]="","",IF(INDEX(Part1_data,tbl_part1[[#This Row],[objective_index]],3)=0,"",INDEX(Part1_data,tbl_part1[[#This Row],[objective_index]],3)))</f>
        <v/>
      </c>
      <c r="J31" s="50" t="str" cm="1">
        <f t="array" ref="J31">IF(tbl_part1[[#This Row],[objective_index]]="","",INDEX(Part1_data,tbl_part1[[#This Row],[objective_index]],4))</f>
        <v/>
      </c>
      <c r="K31" s="372" t="str" cm="1">
        <f t="array" ref="K31">IF(tbl_part1[[#This Row],[objective_index]]="","",INDEX(encoding_weights,tbl_part1[[#This Row],[objective_index]]))</f>
        <v/>
      </c>
      <c r="L31" s="216" t="str" cm="1">
        <f t="array" ref="L31">IF(tbl_part1[[#This Row],[objective_index]]="","",INDEX(Part1_data,tbl_part1[[#This Row],[objective_index]],5))</f>
        <v/>
      </c>
      <c r="M31" s="50" t="str" cm="1">
        <f t="array" ref="M31">IF(tbl_part1[[#This Row],[objective_index]]="","",INDEX(Part1_data,tbl_part1[[#This Row],[objective_index]],6))</f>
        <v/>
      </c>
    </row>
    <row r="32" spans="1:13" x14ac:dyDescent="0.25">
      <c r="A32" t="str" cm="1">
        <f t="array" ref="A32">IF(tbl_part1[[#This Row],[objective_index]]="","",demographics[uniquepersonnelid])</f>
        <v/>
      </c>
      <c r="B32" t="str">
        <f>IF(tbl_part1[[#This Row],[objective_index]]="","","SY "&amp;sy_start&amp;"-"&amp;sy_end)</f>
        <v/>
      </c>
      <c r="C32" t="str">
        <f>IF(tbl_part1[[#This Row],[objective_index]]="","",career_stage)</f>
        <v/>
      </c>
      <c r="D32" t="str">
        <f>IF(tbl_part1[[#This Row],[objective_index]]="","",teacher_type)</f>
        <v/>
      </c>
      <c r="E32" t="str" cm="1">
        <f t="array" ref="E32">IFERROR(SMALL(IF((INDEX(encoding_active_rows,,)),MATCH(ROW(encoding_active_rows),ROW(encoding_active_rows)),""),ROW(tbl_part1[[#This Row],[uniquepersonnelid]])-1),"")</f>
        <v/>
      </c>
      <c r="F32" t="str" cm="1">
        <f t="array" ref="F32">IF(tbl_part1[[#This Row],[objective_index]]="","",INDEX(coi_ncoi_select,tbl_part1[[#This Row],[objective_index]],1))</f>
        <v/>
      </c>
      <c r="G32" s="50" t="str">
        <f>IF(tbl_part1[[#This Row],[objective_index]]="","",IF(INDEX(Part1_data,tbl_part1[[#This Row],[objective_index]],1)=0,"",INDEX(Part1_data,tbl_part1[[#This Row],[objective_index]],1)))</f>
        <v/>
      </c>
      <c r="H32" s="50" t="str">
        <f>IF(tbl_part1[[#This Row],[objective_index]]="","",IF(INDEX(Part1_data,tbl_part1[[#This Row],[objective_index]],2)=0,"",INDEX(Part1_data,tbl_part1[[#This Row],[objective_index]],2)))</f>
        <v/>
      </c>
      <c r="I32" s="50" t="str">
        <f>IF(tbl_part1[[#This Row],[objective_index]]="","",IF(INDEX(Part1_data,tbl_part1[[#This Row],[objective_index]],3)=0,"",INDEX(Part1_data,tbl_part1[[#This Row],[objective_index]],3)))</f>
        <v/>
      </c>
      <c r="J32" s="50" t="str" cm="1">
        <f t="array" ref="J32">IF(tbl_part1[[#This Row],[objective_index]]="","",INDEX(Part1_data,tbl_part1[[#This Row],[objective_index]],4))</f>
        <v/>
      </c>
      <c r="K32" s="372" t="str" cm="1">
        <f t="array" ref="K32">IF(tbl_part1[[#This Row],[objective_index]]="","",INDEX(encoding_weights,tbl_part1[[#This Row],[objective_index]]))</f>
        <v/>
      </c>
      <c r="L32" s="216" t="str" cm="1">
        <f t="array" ref="L32">IF(tbl_part1[[#This Row],[objective_index]]="","",INDEX(Part1_data,tbl_part1[[#This Row],[objective_index]],5))</f>
        <v/>
      </c>
      <c r="M32" s="50" t="str" cm="1">
        <f t="array" ref="M32">IF(tbl_part1[[#This Row],[objective_index]]="","",INDEX(Part1_data,tbl_part1[[#This Row],[objective_index]],6))</f>
        <v/>
      </c>
    </row>
    <row r="33" spans="1:13" x14ac:dyDescent="0.25">
      <c r="A33" t="str" cm="1">
        <f t="array" ref="A33">IF(tbl_part1[[#This Row],[objective_index]]="","",demographics[uniquepersonnelid])</f>
        <v/>
      </c>
      <c r="B33" t="str">
        <f>IF(tbl_part1[[#This Row],[objective_index]]="","","SY "&amp;sy_start&amp;"-"&amp;sy_end)</f>
        <v/>
      </c>
      <c r="C33" t="str">
        <f>IF(tbl_part1[[#This Row],[objective_index]]="","",career_stage)</f>
        <v/>
      </c>
      <c r="D33" t="str">
        <f>IF(tbl_part1[[#This Row],[objective_index]]="","",teacher_type)</f>
        <v/>
      </c>
      <c r="E33" t="str" cm="1">
        <f t="array" ref="E33">IFERROR(SMALL(IF((INDEX(encoding_active_rows,,)),MATCH(ROW(encoding_active_rows),ROW(encoding_active_rows)),""),ROW(tbl_part1[[#This Row],[uniquepersonnelid]])-1),"")</f>
        <v/>
      </c>
      <c r="F33" t="str" cm="1">
        <f t="array" ref="F33">IF(tbl_part1[[#This Row],[objective_index]]="","",INDEX(coi_ncoi_select,tbl_part1[[#This Row],[objective_index]],1))</f>
        <v/>
      </c>
      <c r="G33" s="50" t="str">
        <f>IF(tbl_part1[[#This Row],[objective_index]]="","",IF(INDEX(Part1_data,tbl_part1[[#This Row],[objective_index]],1)=0,"",INDEX(Part1_data,tbl_part1[[#This Row],[objective_index]],1)))</f>
        <v/>
      </c>
      <c r="H33" s="50" t="str">
        <f>IF(tbl_part1[[#This Row],[objective_index]]="","",IF(INDEX(Part1_data,tbl_part1[[#This Row],[objective_index]],2)=0,"",INDEX(Part1_data,tbl_part1[[#This Row],[objective_index]],2)))</f>
        <v/>
      </c>
      <c r="I33" s="50" t="str">
        <f>IF(tbl_part1[[#This Row],[objective_index]]="","",IF(INDEX(Part1_data,tbl_part1[[#This Row],[objective_index]],3)=0,"",INDEX(Part1_data,tbl_part1[[#This Row],[objective_index]],3)))</f>
        <v/>
      </c>
      <c r="J33" s="50" t="str" cm="1">
        <f t="array" ref="J33">IF(tbl_part1[[#This Row],[objective_index]]="","",INDEX(Part1_data,tbl_part1[[#This Row],[objective_index]],4))</f>
        <v/>
      </c>
      <c r="K33" s="372" t="str" cm="1">
        <f t="array" ref="K33">IF(tbl_part1[[#This Row],[objective_index]]="","",INDEX(encoding_weights,tbl_part1[[#This Row],[objective_index]]))</f>
        <v/>
      </c>
      <c r="L33" s="216" t="str" cm="1">
        <f t="array" ref="L33">IF(tbl_part1[[#This Row],[objective_index]]="","",INDEX(Part1_data,tbl_part1[[#This Row],[objective_index]],5))</f>
        <v/>
      </c>
      <c r="M33" s="50" t="str" cm="1">
        <f t="array" ref="M33">IF(tbl_part1[[#This Row],[objective_index]]="","",INDEX(Part1_data,tbl_part1[[#This Row],[objective_index]],6))</f>
        <v/>
      </c>
    </row>
    <row r="34" spans="1:13" x14ac:dyDescent="0.25">
      <c r="A34" t="str" cm="1">
        <f t="array" ref="A34">IF(tbl_part1[[#This Row],[objective_index]]="","",demographics[uniquepersonnelid])</f>
        <v/>
      </c>
      <c r="B34" t="str">
        <f>IF(tbl_part1[[#This Row],[objective_index]]="","","SY "&amp;sy_start&amp;"-"&amp;sy_end)</f>
        <v/>
      </c>
      <c r="C34" t="str">
        <f>IF(tbl_part1[[#This Row],[objective_index]]="","",career_stage)</f>
        <v/>
      </c>
      <c r="D34" t="str">
        <f>IF(tbl_part1[[#This Row],[objective_index]]="","",teacher_type)</f>
        <v/>
      </c>
      <c r="E34" t="str" cm="1">
        <f t="array" ref="E34">IFERROR(SMALL(IF((INDEX(encoding_active_rows,,)),MATCH(ROW(encoding_active_rows),ROW(encoding_active_rows)),""),ROW(tbl_part1[[#This Row],[uniquepersonnelid]])-1),"")</f>
        <v/>
      </c>
      <c r="F34" t="str" cm="1">
        <f t="array" ref="F34">IF(tbl_part1[[#This Row],[objective_index]]="","",INDEX(coi_ncoi_select,tbl_part1[[#This Row],[objective_index]],1))</f>
        <v/>
      </c>
      <c r="G34" s="50" t="str">
        <f>IF(tbl_part1[[#This Row],[objective_index]]="","",IF(INDEX(Part1_data,tbl_part1[[#This Row],[objective_index]],1)=0,"",INDEX(Part1_data,tbl_part1[[#This Row],[objective_index]],1)))</f>
        <v/>
      </c>
      <c r="H34" s="50" t="str">
        <f>IF(tbl_part1[[#This Row],[objective_index]]="","",IF(INDEX(Part1_data,tbl_part1[[#This Row],[objective_index]],2)=0,"",INDEX(Part1_data,tbl_part1[[#This Row],[objective_index]],2)))</f>
        <v/>
      </c>
      <c r="I34" s="50" t="str">
        <f>IF(tbl_part1[[#This Row],[objective_index]]="","",IF(INDEX(Part1_data,tbl_part1[[#This Row],[objective_index]],3)=0,"",INDEX(Part1_data,tbl_part1[[#This Row],[objective_index]],3)))</f>
        <v/>
      </c>
      <c r="J34" s="50" t="str" cm="1">
        <f t="array" ref="J34">IF(tbl_part1[[#This Row],[objective_index]]="","",INDEX(Part1_data,tbl_part1[[#This Row],[objective_index]],4))</f>
        <v/>
      </c>
      <c r="K34" s="372" t="str" cm="1">
        <f t="array" ref="K34">IF(tbl_part1[[#This Row],[objective_index]]="","",INDEX(encoding_weights,tbl_part1[[#This Row],[objective_index]]))</f>
        <v/>
      </c>
      <c r="L34" s="216" t="str" cm="1">
        <f t="array" ref="L34">IF(tbl_part1[[#This Row],[objective_index]]="","",INDEX(Part1_data,tbl_part1[[#This Row],[objective_index]],5))</f>
        <v/>
      </c>
      <c r="M34" s="50" t="str" cm="1">
        <f t="array" ref="M34">IF(tbl_part1[[#This Row],[objective_index]]="","",INDEX(Part1_data,tbl_part1[[#This Row],[objective_index]],6))</f>
        <v/>
      </c>
    </row>
    <row r="35" spans="1:13" x14ac:dyDescent="0.25">
      <c r="A35" t="str" cm="1">
        <f t="array" ref="A35">IF(tbl_part1[[#This Row],[objective_index]]="","",demographics[uniquepersonnelid])</f>
        <v/>
      </c>
      <c r="B35" t="str">
        <f>IF(tbl_part1[[#This Row],[objective_index]]="","","SY "&amp;sy_start&amp;"-"&amp;sy_end)</f>
        <v/>
      </c>
      <c r="C35" t="str">
        <f>IF(tbl_part1[[#This Row],[objective_index]]="","",career_stage)</f>
        <v/>
      </c>
      <c r="D35" t="str">
        <f>IF(tbl_part1[[#This Row],[objective_index]]="","",teacher_type)</f>
        <v/>
      </c>
      <c r="E35" t="str" cm="1">
        <f t="array" ref="E35">IFERROR(SMALL(IF((INDEX(encoding_active_rows,,)),MATCH(ROW(encoding_active_rows),ROW(encoding_active_rows)),""),ROW(tbl_part1[[#This Row],[uniquepersonnelid]])-1),"")</f>
        <v/>
      </c>
      <c r="F35" t="str" cm="1">
        <f t="array" ref="F35">IF(tbl_part1[[#This Row],[objective_index]]="","",INDEX(coi_ncoi_select,tbl_part1[[#This Row],[objective_index]],1))</f>
        <v/>
      </c>
      <c r="G35" s="50" t="str">
        <f>IF(tbl_part1[[#This Row],[objective_index]]="","",IF(INDEX(Part1_data,tbl_part1[[#This Row],[objective_index]],1)=0,"",INDEX(Part1_data,tbl_part1[[#This Row],[objective_index]],1)))</f>
        <v/>
      </c>
      <c r="H35" s="50" t="str">
        <f>IF(tbl_part1[[#This Row],[objective_index]]="","",IF(INDEX(Part1_data,tbl_part1[[#This Row],[objective_index]],2)=0,"",INDEX(Part1_data,tbl_part1[[#This Row],[objective_index]],2)))</f>
        <v/>
      </c>
      <c r="I35" s="50" t="str">
        <f>IF(tbl_part1[[#This Row],[objective_index]]="","",IF(INDEX(Part1_data,tbl_part1[[#This Row],[objective_index]],3)=0,"",INDEX(Part1_data,tbl_part1[[#This Row],[objective_index]],3)))</f>
        <v/>
      </c>
      <c r="J35" s="50" t="str" cm="1">
        <f t="array" ref="J35">IF(tbl_part1[[#This Row],[objective_index]]="","",INDEX(Part1_data,tbl_part1[[#This Row],[objective_index]],4))</f>
        <v/>
      </c>
      <c r="K35" s="372" t="str" cm="1">
        <f t="array" ref="K35">IF(tbl_part1[[#This Row],[objective_index]]="","",INDEX(encoding_weights,tbl_part1[[#This Row],[objective_index]]))</f>
        <v/>
      </c>
      <c r="L35" s="216" t="str" cm="1">
        <f t="array" ref="L35">IF(tbl_part1[[#This Row],[objective_index]]="","",INDEX(Part1_data,tbl_part1[[#This Row],[objective_index]],5))</f>
        <v/>
      </c>
      <c r="M35" s="50" t="str" cm="1">
        <f t="array" ref="M35">IF(tbl_part1[[#This Row],[objective_index]]="","",INDEX(Part1_data,tbl_part1[[#This Row],[objective_index]],6))</f>
        <v/>
      </c>
    </row>
    <row r="36" spans="1:13" x14ac:dyDescent="0.25">
      <c r="A36" t="str" cm="1">
        <f t="array" ref="A36">IF(tbl_part1[[#This Row],[objective_index]]="","",demographics[uniquepersonnelid])</f>
        <v/>
      </c>
      <c r="B36" t="str">
        <f>IF(tbl_part1[[#This Row],[objective_index]]="","","SY "&amp;sy_start&amp;"-"&amp;sy_end)</f>
        <v/>
      </c>
      <c r="C36" t="str">
        <f>IF(tbl_part1[[#This Row],[objective_index]]="","",career_stage)</f>
        <v/>
      </c>
      <c r="D36" t="str">
        <f>IF(tbl_part1[[#This Row],[objective_index]]="","",teacher_type)</f>
        <v/>
      </c>
      <c r="E36" t="str" cm="1">
        <f t="array" ref="E36">IFERROR(SMALL(IF((INDEX(encoding_active_rows,,)),MATCH(ROW(encoding_active_rows),ROW(encoding_active_rows)),""),ROW(tbl_part1[[#This Row],[uniquepersonnelid]])-1),"")</f>
        <v/>
      </c>
      <c r="F36" t="str" cm="1">
        <f t="array" ref="F36">IF(tbl_part1[[#This Row],[objective_index]]="","",INDEX(coi_ncoi_select,tbl_part1[[#This Row],[objective_index]],1))</f>
        <v/>
      </c>
      <c r="G36" s="50" t="str">
        <f>IF(tbl_part1[[#This Row],[objective_index]]="","",IF(INDEX(Part1_data,tbl_part1[[#This Row],[objective_index]],1)=0,"",INDEX(Part1_data,tbl_part1[[#This Row],[objective_index]],1)))</f>
        <v/>
      </c>
      <c r="H36" s="50" t="str">
        <f>IF(tbl_part1[[#This Row],[objective_index]]="","",IF(INDEX(Part1_data,tbl_part1[[#This Row],[objective_index]],2)=0,"",INDEX(Part1_data,tbl_part1[[#This Row],[objective_index]],2)))</f>
        <v/>
      </c>
      <c r="I36" s="50" t="str">
        <f>IF(tbl_part1[[#This Row],[objective_index]]="","",IF(INDEX(Part1_data,tbl_part1[[#This Row],[objective_index]],3)=0,"",INDEX(Part1_data,tbl_part1[[#This Row],[objective_index]],3)))</f>
        <v/>
      </c>
      <c r="J36" s="50" t="str" cm="1">
        <f t="array" ref="J36">IF(tbl_part1[[#This Row],[objective_index]]="","",INDEX(Part1_data,tbl_part1[[#This Row],[objective_index]],4))</f>
        <v/>
      </c>
      <c r="K36" s="372" t="str" cm="1">
        <f t="array" ref="K36">IF(tbl_part1[[#This Row],[objective_index]]="","",INDEX(encoding_weights,tbl_part1[[#This Row],[objective_index]]))</f>
        <v/>
      </c>
      <c r="L36" s="216" t="str" cm="1">
        <f t="array" ref="L36">IF(tbl_part1[[#This Row],[objective_index]]="","",INDEX(Part1_data,tbl_part1[[#This Row],[objective_index]],5))</f>
        <v/>
      </c>
      <c r="M36" s="50" t="str" cm="1">
        <f t="array" ref="M36">IF(tbl_part1[[#This Row],[objective_index]]="","",INDEX(Part1_data,tbl_part1[[#This Row],[objective_index]],6))</f>
        <v/>
      </c>
    </row>
    <row r="37" spans="1:13" x14ac:dyDescent="0.25">
      <c r="A37" t="str" cm="1">
        <f t="array" ref="A37">IF(tbl_part1[[#This Row],[objective_index]]="","",demographics[uniquepersonnelid])</f>
        <v/>
      </c>
      <c r="B37" t="str">
        <f>IF(tbl_part1[[#This Row],[objective_index]]="","","SY "&amp;sy_start&amp;"-"&amp;sy_end)</f>
        <v/>
      </c>
      <c r="C37" t="str">
        <f>IF(tbl_part1[[#This Row],[objective_index]]="","",career_stage)</f>
        <v/>
      </c>
      <c r="D37" t="str">
        <f>IF(tbl_part1[[#This Row],[objective_index]]="","",teacher_type)</f>
        <v/>
      </c>
      <c r="E37" t="str" cm="1">
        <f t="array" ref="E37">IFERROR(SMALL(IF((INDEX(encoding_active_rows,,)),MATCH(ROW(encoding_active_rows),ROW(encoding_active_rows)),""),ROW(tbl_part1[[#This Row],[uniquepersonnelid]])-1),"")</f>
        <v/>
      </c>
      <c r="F37" t="str" cm="1">
        <f t="array" ref="F37">IF(tbl_part1[[#This Row],[objective_index]]="","",INDEX(coi_ncoi_select,tbl_part1[[#This Row],[objective_index]],1))</f>
        <v/>
      </c>
      <c r="G37" s="50" t="str">
        <f>IF(tbl_part1[[#This Row],[objective_index]]="","",IF(INDEX(Part1_data,tbl_part1[[#This Row],[objective_index]],1)=0,"",INDEX(Part1_data,tbl_part1[[#This Row],[objective_index]],1)))</f>
        <v/>
      </c>
      <c r="H37" s="50" t="str">
        <f>IF(tbl_part1[[#This Row],[objective_index]]="","",IF(INDEX(Part1_data,tbl_part1[[#This Row],[objective_index]],2)=0,"",INDEX(Part1_data,tbl_part1[[#This Row],[objective_index]],2)))</f>
        <v/>
      </c>
      <c r="I37" s="50" t="str">
        <f>IF(tbl_part1[[#This Row],[objective_index]]="","",IF(INDEX(Part1_data,tbl_part1[[#This Row],[objective_index]],3)=0,"",INDEX(Part1_data,tbl_part1[[#This Row],[objective_index]],3)))</f>
        <v/>
      </c>
      <c r="J37" s="50" t="str" cm="1">
        <f t="array" ref="J37">IF(tbl_part1[[#This Row],[objective_index]]="","",INDEX(Part1_data,tbl_part1[[#This Row],[objective_index]],4))</f>
        <v/>
      </c>
      <c r="K37" s="372" t="str" cm="1">
        <f t="array" ref="K37">IF(tbl_part1[[#This Row],[objective_index]]="","",INDEX(encoding_weights,tbl_part1[[#This Row],[objective_index]]))</f>
        <v/>
      </c>
      <c r="L37" s="216" t="str" cm="1">
        <f t="array" ref="L37">IF(tbl_part1[[#This Row],[objective_index]]="","",INDEX(Part1_data,tbl_part1[[#This Row],[objective_index]],5))</f>
        <v/>
      </c>
      <c r="M37" s="50" t="str" cm="1">
        <f t="array" ref="M37">IF(tbl_part1[[#This Row],[objective_index]]="","",INDEX(Part1_data,tbl_part1[[#This Row],[objective_index]],6))</f>
        <v/>
      </c>
    </row>
    <row r="38" spans="1:13" x14ac:dyDescent="0.25">
      <c r="A38" t="str" cm="1">
        <f t="array" ref="A38">IF(tbl_part1[[#This Row],[objective_index]]="","",demographics[uniquepersonnelid])</f>
        <v/>
      </c>
      <c r="B38" t="str">
        <f>IF(tbl_part1[[#This Row],[objective_index]]="","","SY "&amp;sy_start&amp;"-"&amp;sy_end)</f>
        <v/>
      </c>
      <c r="C38" t="str">
        <f>IF(tbl_part1[[#This Row],[objective_index]]="","",career_stage)</f>
        <v/>
      </c>
      <c r="D38" t="str">
        <f>IF(tbl_part1[[#This Row],[objective_index]]="","",teacher_type)</f>
        <v/>
      </c>
      <c r="E38" t="str" cm="1">
        <f t="array" ref="E38">IFERROR(SMALL(IF((INDEX(encoding_active_rows,,)),MATCH(ROW(encoding_active_rows),ROW(encoding_active_rows)),""),ROW(tbl_part1[[#This Row],[uniquepersonnelid]])-1),"")</f>
        <v/>
      </c>
      <c r="F38" t="str" cm="1">
        <f t="array" ref="F38">IF(tbl_part1[[#This Row],[objective_index]]="","",INDEX(coi_ncoi_select,tbl_part1[[#This Row],[objective_index]],1))</f>
        <v/>
      </c>
      <c r="G38" s="50" t="str">
        <f>IF(tbl_part1[[#This Row],[objective_index]]="","",IF(INDEX(Part1_data,tbl_part1[[#This Row],[objective_index]],1)=0,"",INDEX(Part1_data,tbl_part1[[#This Row],[objective_index]],1)))</f>
        <v/>
      </c>
      <c r="H38" s="50" t="str">
        <f>IF(tbl_part1[[#This Row],[objective_index]]="","",IF(INDEX(Part1_data,tbl_part1[[#This Row],[objective_index]],2)=0,"",INDEX(Part1_data,tbl_part1[[#This Row],[objective_index]],2)))</f>
        <v/>
      </c>
      <c r="I38" s="50" t="str">
        <f>IF(tbl_part1[[#This Row],[objective_index]]="","",IF(INDEX(Part1_data,tbl_part1[[#This Row],[objective_index]],3)=0,"",INDEX(Part1_data,tbl_part1[[#This Row],[objective_index]],3)))</f>
        <v/>
      </c>
      <c r="J38" s="50" t="str" cm="1">
        <f t="array" ref="J38">IF(tbl_part1[[#This Row],[objective_index]]="","",INDEX(Part1_data,tbl_part1[[#This Row],[objective_index]],4))</f>
        <v/>
      </c>
      <c r="K38" s="372" t="str" cm="1">
        <f t="array" ref="K38">IF(tbl_part1[[#This Row],[objective_index]]="","",INDEX(encoding_weights,tbl_part1[[#This Row],[objective_index]]))</f>
        <v/>
      </c>
      <c r="L38" s="216" t="str" cm="1">
        <f t="array" ref="L38">IF(tbl_part1[[#This Row],[objective_index]]="","",INDEX(Part1_data,tbl_part1[[#This Row],[objective_index]],5))</f>
        <v/>
      </c>
      <c r="M38" s="50" t="str" cm="1">
        <f t="array" ref="M38">IF(tbl_part1[[#This Row],[objective_index]]="","",INDEX(Part1_data,tbl_part1[[#This Row],[objective_index]],6))</f>
        <v/>
      </c>
    </row>
    <row r="39" spans="1:13" x14ac:dyDescent="0.25">
      <c r="A39" t="str" cm="1">
        <f t="array" ref="A39">IF(tbl_part1[[#This Row],[objective_index]]="","",demographics[uniquepersonnelid])</f>
        <v/>
      </c>
      <c r="B39" t="str">
        <f>IF(tbl_part1[[#This Row],[objective_index]]="","","SY "&amp;sy_start&amp;"-"&amp;sy_end)</f>
        <v/>
      </c>
      <c r="C39" t="str">
        <f>IF(tbl_part1[[#This Row],[objective_index]]="","",career_stage)</f>
        <v/>
      </c>
      <c r="D39" t="str">
        <f>IF(tbl_part1[[#This Row],[objective_index]]="","",teacher_type)</f>
        <v/>
      </c>
      <c r="E39" t="str" cm="1">
        <f t="array" ref="E39">IFERROR(SMALL(IF((INDEX(encoding_active_rows,,)),MATCH(ROW(encoding_active_rows),ROW(encoding_active_rows)),""),ROW(tbl_part1[[#This Row],[uniquepersonnelid]])-1),"")</f>
        <v/>
      </c>
      <c r="F39" t="str" cm="1">
        <f t="array" ref="F39">IF(tbl_part1[[#This Row],[objective_index]]="","",INDEX(coi_ncoi_select,tbl_part1[[#This Row],[objective_index]],1))</f>
        <v/>
      </c>
      <c r="G39" s="50" t="str">
        <f>IF(tbl_part1[[#This Row],[objective_index]]="","",IF(INDEX(Part1_data,tbl_part1[[#This Row],[objective_index]],1)=0,"",INDEX(Part1_data,tbl_part1[[#This Row],[objective_index]],1)))</f>
        <v/>
      </c>
      <c r="H39" s="50" t="str">
        <f>IF(tbl_part1[[#This Row],[objective_index]]="","",IF(INDEX(Part1_data,tbl_part1[[#This Row],[objective_index]],2)=0,"",INDEX(Part1_data,tbl_part1[[#This Row],[objective_index]],2)))</f>
        <v/>
      </c>
      <c r="I39" s="50" t="str">
        <f>IF(tbl_part1[[#This Row],[objective_index]]="","",IF(INDEX(Part1_data,tbl_part1[[#This Row],[objective_index]],3)=0,"",INDEX(Part1_data,tbl_part1[[#This Row],[objective_index]],3)))</f>
        <v/>
      </c>
      <c r="J39" s="50" t="str" cm="1">
        <f t="array" ref="J39">IF(tbl_part1[[#This Row],[objective_index]]="","",INDEX(Part1_data,tbl_part1[[#This Row],[objective_index]],4))</f>
        <v/>
      </c>
      <c r="K39" s="372" t="str" cm="1">
        <f t="array" ref="K39">IF(tbl_part1[[#This Row],[objective_index]]="","",INDEX(encoding_weights,tbl_part1[[#This Row],[objective_index]]))</f>
        <v/>
      </c>
      <c r="L39" s="216" t="str" cm="1">
        <f t="array" ref="L39">IF(tbl_part1[[#This Row],[objective_index]]="","",INDEX(Part1_data,tbl_part1[[#This Row],[objective_index]],5))</f>
        <v/>
      </c>
      <c r="M39" s="50" t="str" cm="1">
        <f t="array" ref="M39">IF(tbl_part1[[#This Row],[objective_index]]="","",INDEX(Part1_data,tbl_part1[[#This Row],[objective_index]],6))</f>
        <v/>
      </c>
    </row>
    <row r="40" spans="1:13" x14ac:dyDescent="0.25">
      <c r="A40" t="str" cm="1">
        <f t="array" ref="A40">IF(tbl_part1[[#This Row],[objective_index]]="","",demographics[uniquepersonnelid])</f>
        <v/>
      </c>
      <c r="B40" t="str">
        <f>IF(tbl_part1[[#This Row],[objective_index]]="","","SY "&amp;sy_start&amp;"-"&amp;sy_end)</f>
        <v/>
      </c>
      <c r="C40" t="str">
        <f>IF(tbl_part1[[#This Row],[objective_index]]="","",career_stage)</f>
        <v/>
      </c>
      <c r="D40" t="str">
        <f>IF(tbl_part1[[#This Row],[objective_index]]="","",teacher_type)</f>
        <v/>
      </c>
      <c r="E40" t="str" cm="1">
        <f t="array" ref="E40">IFERROR(SMALL(IF((INDEX(encoding_active_rows,,)),MATCH(ROW(encoding_active_rows),ROW(encoding_active_rows)),""),ROW(tbl_part1[[#This Row],[uniquepersonnelid]])-1),"")</f>
        <v/>
      </c>
      <c r="F40" t="str" cm="1">
        <f t="array" ref="F40">IF(tbl_part1[[#This Row],[objective_index]]="","",INDEX(coi_ncoi_select,tbl_part1[[#This Row],[objective_index]],1))</f>
        <v/>
      </c>
      <c r="G40" s="50" t="str">
        <f>IF(tbl_part1[[#This Row],[objective_index]]="","",IF(INDEX(Part1_data,tbl_part1[[#This Row],[objective_index]],1)=0,"",INDEX(Part1_data,tbl_part1[[#This Row],[objective_index]],1)))</f>
        <v/>
      </c>
      <c r="H40" s="50" t="str">
        <f>IF(tbl_part1[[#This Row],[objective_index]]="","",IF(INDEX(Part1_data,tbl_part1[[#This Row],[objective_index]],2)=0,"",INDEX(Part1_data,tbl_part1[[#This Row],[objective_index]],2)))</f>
        <v/>
      </c>
      <c r="I40" s="50" t="str">
        <f>IF(tbl_part1[[#This Row],[objective_index]]="","",IF(INDEX(Part1_data,tbl_part1[[#This Row],[objective_index]],3)=0,"",INDEX(Part1_data,tbl_part1[[#This Row],[objective_index]],3)))</f>
        <v/>
      </c>
      <c r="J40" s="50" t="str" cm="1">
        <f t="array" ref="J40">IF(tbl_part1[[#This Row],[objective_index]]="","",INDEX(Part1_data,tbl_part1[[#This Row],[objective_index]],4))</f>
        <v/>
      </c>
      <c r="K40" s="372" t="str" cm="1">
        <f t="array" ref="K40">IF(tbl_part1[[#This Row],[objective_index]]="","",INDEX(encoding_weights,tbl_part1[[#This Row],[objective_index]]))</f>
        <v/>
      </c>
      <c r="L40" s="216" t="str" cm="1">
        <f t="array" ref="L40">IF(tbl_part1[[#This Row],[objective_index]]="","",INDEX(Part1_data,tbl_part1[[#This Row],[objective_index]],5))</f>
        <v/>
      </c>
      <c r="M40" s="50" t="str" cm="1">
        <f t="array" ref="M40">IF(tbl_part1[[#This Row],[objective_index]]="","",INDEX(Part1_data,tbl_part1[[#This Row],[objective_index]],6))</f>
        <v/>
      </c>
    </row>
    <row r="41" spans="1:13" x14ac:dyDescent="0.25">
      <c r="A41" t="str" cm="1">
        <f t="array" ref="A41">IF(tbl_part1[[#This Row],[objective_index]]="","",demographics[uniquepersonnelid])</f>
        <v/>
      </c>
      <c r="B41" t="str">
        <f>IF(tbl_part1[[#This Row],[objective_index]]="","","SY "&amp;sy_start&amp;"-"&amp;sy_end)</f>
        <v/>
      </c>
      <c r="C41" t="str">
        <f>IF(tbl_part1[[#This Row],[objective_index]]="","",career_stage)</f>
        <v/>
      </c>
      <c r="D41" t="str">
        <f>IF(tbl_part1[[#This Row],[objective_index]]="","",teacher_type)</f>
        <v/>
      </c>
      <c r="E41" t="str" cm="1">
        <f t="array" ref="E41">IFERROR(SMALL(IF((INDEX(encoding_active_rows,,)),MATCH(ROW(encoding_active_rows),ROW(encoding_active_rows)),""),ROW(tbl_part1[[#This Row],[uniquepersonnelid]])-1),"")</f>
        <v/>
      </c>
      <c r="F41" t="str" cm="1">
        <f t="array" ref="F41">IF(tbl_part1[[#This Row],[objective_index]]="","",INDEX(coi_ncoi_select,tbl_part1[[#This Row],[objective_index]],1))</f>
        <v/>
      </c>
      <c r="G41" s="50" t="str">
        <f>IF(tbl_part1[[#This Row],[objective_index]]="","",IF(INDEX(Part1_data,tbl_part1[[#This Row],[objective_index]],1)=0,"",INDEX(Part1_data,tbl_part1[[#This Row],[objective_index]],1)))</f>
        <v/>
      </c>
      <c r="H41" s="50" t="str">
        <f>IF(tbl_part1[[#This Row],[objective_index]]="","",IF(INDEX(Part1_data,tbl_part1[[#This Row],[objective_index]],2)=0,"",INDEX(Part1_data,tbl_part1[[#This Row],[objective_index]],2)))</f>
        <v/>
      </c>
      <c r="I41" s="50" t="str">
        <f>IF(tbl_part1[[#This Row],[objective_index]]="","",IF(INDEX(Part1_data,tbl_part1[[#This Row],[objective_index]],3)=0,"",INDEX(Part1_data,tbl_part1[[#This Row],[objective_index]],3)))</f>
        <v/>
      </c>
      <c r="J41" s="50" t="str" cm="1">
        <f t="array" ref="J41">IF(tbl_part1[[#This Row],[objective_index]]="","",INDEX(Part1_data,tbl_part1[[#This Row],[objective_index]],4))</f>
        <v/>
      </c>
      <c r="K41" s="372" t="str" cm="1">
        <f t="array" ref="K41">IF(tbl_part1[[#This Row],[objective_index]]="","",INDEX(encoding_weights,tbl_part1[[#This Row],[objective_index]]))</f>
        <v/>
      </c>
      <c r="L41" s="216" t="str" cm="1">
        <f t="array" ref="L41">IF(tbl_part1[[#This Row],[objective_index]]="","",INDEX(Part1_data,tbl_part1[[#This Row],[objective_index]],5))</f>
        <v/>
      </c>
      <c r="M41" s="50" t="str" cm="1">
        <f t="array" ref="M41">IF(tbl_part1[[#This Row],[objective_index]]="","",INDEX(Part1_data,tbl_part1[[#This Row],[objective_index]],6))</f>
        <v/>
      </c>
    </row>
    <row r="42" spans="1:13" x14ac:dyDescent="0.25">
      <c r="A42" t="str" cm="1">
        <f t="array" ref="A42">IF(tbl_part1[[#This Row],[objective_index]]="","",demographics[uniquepersonnelid])</f>
        <v/>
      </c>
      <c r="B42" t="str">
        <f>IF(tbl_part1[[#This Row],[objective_index]]="","","SY "&amp;sy_start&amp;"-"&amp;sy_end)</f>
        <v/>
      </c>
      <c r="C42" t="str">
        <f>IF(tbl_part1[[#This Row],[objective_index]]="","",career_stage)</f>
        <v/>
      </c>
      <c r="D42" t="str">
        <f>IF(tbl_part1[[#This Row],[objective_index]]="","",teacher_type)</f>
        <v/>
      </c>
      <c r="E42" t="str" cm="1">
        <f t="array" ref="E42">IFERROR(SMALL(IF((INDEX(encoding_active_rows,,)),MATCH(ROW(encoding_active_rows),ROW(encoding_active_rows)),""),ROW(tbl_part1[[#This Row],[uniquepersonnelid]])-1),"")</f>
        <v/>
      </c>
      <c r="F42" t="str" cm="1">
        <f t="array" ref="F42">IF(tbl_part1[[#This Row],[objective_index]]="","",INDEX(coi_ncoi_select,tbl_part1[[#This Row],[objective_index]],1))</f>
        <v/>
      </c>
      <c r="G42" s="50" t="str">
        <f>IF(tbl_part1[[#This Row],[objective_index]]="","",IF(INDEX(Part1_data,tbl_part1[[#This Row],[objective_index]],1)=0,"",INDEX(Part1_data,tbl_part1[[#This Row],[objective_index]],1)))</f>
        <v/>
      </c>
      <c r="H42" s="50" t="str">
        <f>IF(tbl_part1[[#This Row],[objective_index]]="","",IF(INDEX(Part1_data,tbl_part1[[#This Row],[objective_index]],2)=0,"",INDEX(Part1_data,tbl_part1[[#This Row],[objective_index]],2)))</f>
        <v/>
      </c>
      <c r="I42" s="50" t="str">
        <f>IF(tbl_part1[[#This Row],[objective_index]]="","",IF(INDEX(Part1_data,tbl_part1[[#This Row],[objective_index]],3)=0,"",INDEX(Part1_data,tbl_part1[[#This Row],[objective_index]],3)))</f>
        <v/>
      </c>
      <c r="J42" s="50" t="str" cm="1">
        <f t="array" ref="J42">IF(tbl_part1[[#This Row],[objective_index]]="","",INDEX(Part1_data,tbl_part1[[#This Row],[objective_index]],4))</f>
        <v/>
      </c>
      <c r="K42" s="372" t="str" cm="1">
        <f t="array" ref="K42">IF(tbl_part1[[#This Row],[objective_index]]="","",INDEX(encoding_weights,tbl_part1[[#This Row],[objective_index]]))</f>
        <v/>
      </c>
      <c r="L42" s="216" t="str" cm="1">
        <f t="array" ref="L42">IF(tbl_part1[[#This Row],[objective_index]]="","",INDEX(Part1_data,tbl_part1[[#This Row],[objective_index]],5))</f>
        <v/>
      </c>
      <c r="M42" s="50" t="str" cm="1">
        <f t="array" ref="M42">IF(tbl_part1[[#This Row],[objective_index]]="","",INDEX(Part1_data,tbl_part1[[#This Row],[objective_index]],6))</f>
        <v/>
      </c>
    </row>
  </sheetData>
  <sheetProtection algorithmName="SHA-512" hashValue="oohL+2DKJTlmDNwH3i8aXOzJv0XSwSG9IEpCazGxnkjGw9/n2dGAqcZIX+p/No3fDvY/eG1whwQ4XLgtYPflLA==" saltValue="jwbWFVatwLy/16xiPdq5Vg==" spinCount="100000" sheet="1" objects="1" scenarios="1" selectLockedCells="1" selectUnlockedCells="1"/>
  <phoneticPr fontId="31" type="noConversion"/>
  <pageMargins left="0.7" right="0.7" top="0.75" bottom="0.75" header="0.3" footer="0.3"/>
  <pageSetup orientation="portrait" horizontalDpi="0" verticalDpi="0"/>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9E0-E55C-2D4B-9BC3-9A3BCA746F7C}">
  <sheetPr codeName="tbl_part2_Sheet"/>
  <dimension ref="A1:F31"/>
  <sheetViews>
    <sheetView zoomScale="130" zoomScaleNormal="130" workbookViewId="0">
      <selection activeCell="D22" sqref="D22"/>
    </sheetView>
  </sheetViews>
  <sheetFormatPr defaultColWidth="8.85546875" defaultRowHeight="15" x14ac:dyDescent="0.25"/>
  <cols>
    <col min="1" max="2" width="23.85546875" customWidth="1"/>
    <col min="3" max="4" width="11.7109375" customWidth="1"/>
    <col min="5" max="5" width="17.28515625" customWidth="1"/>
    <col min="6" max="6" width="17" customWidth="1"/>
  </cols>
  <sheetData>
    <row r="1" spans="1:6" x14ac:dyDescent="0.25">
      <c r="A1" t="s">
        <v>23</v>
      </c>
      <c r="B1" t="s">
        <v>5</v>
      </c>
      <c r="C1" t="s">
        <v>7</v>
      </c>
      <c r="D1" t="s">
        <v>6</v>
      </c>
      <c r="E1" t="s">
        <v>100</v>
      </c>
      <c r="F1" t="s">
        <v>101</v>
      </c>
    </row>
    <row r="2" spans="1:6" x14ac:dyDescent="0.25">
      <c r="A2" t="str" cm="1">
        <f t="array" aca="1" ref="A2" ca="1">IF(tbl_part2[[#This Row],[competency_index]]="","",demographics[uniquepersonnelid])</f>
        <v>REG4A-01-301418-4363744</v>
      </c>
      <c r="B2" t="str">
        <f>IF(tbl_part2[[#This Row],[competency_index]]="","","SY "&amp;sy_start&amp;"-"&amp;sy_end)</f>
        <v>SY 2023-2024</v>
      </c>
      <c r="C2" t="str">
        <f>IF(tbl_part2[[#This Row],[competency_index]]="","",career_stage)</f>
        <v>P</v>
      </c>
      <c r="D2" t="str">
        <f>IF(tbl_part2[[#This Row],[competency_index]]="","",teacher_type)</f>
        <v>R</v>
      </c>
      <c r="E2" cm="1">
        <f t="array" ref="E2">IFERROR(SMALL(IF((INDEX(Part2_data,,1)),MATCH(ROW(Part2_data),ROW(Part2_data)),""),ROW(tbl_part2[[#This Row],[uniquepersonnelid]])-1),"")</f>
        <v>1</v>
      </c>
      <c r="F2" t="str" cm="1">
        <f t="array" aca="1" ref="F2" ca="1">IFERROR(IF(tbl_part2[[#This Row],[uniquepersonnelid]]="","",INDEX(Part2_data,tbl_part2[[#This Row],[competency_index]],2)),"")</f>
        <v>SM-1</v>
      </c>
    </row>
    <row r="3" spans="1:6" x14ac:dyDescent="0.25">
      <c r="A3" t="str" cm="1">
        <f t="array" aca="1" ref="A3" ca="1">IF(tbl_part2[[#This Row],[competency_index]]="","",demographics[uniquepersonnelid])</f>
        <v>REG4A-01-301418-4363744</v>
      </c>
      <c r="B3" t="str">
        <f>IF(tbl_part2[[#This Row],[competency_index]]="","","SY "&amp;sy_start&amp;"-"&amp;sy_end)</f>
        <v>SY 2023-2024</v>
      </c>
      <c r="C3" t="str">
        <f>IF(tbl_part2[[#This Row],[competency_index]]="","",career_stage)</f>
        <v>P</v>
      </c>
      <c r="D3" t="str">
        <f>IF(tbl_part2[[#This Row],[competency_index]]="","",teacher_type)</f>
        <v>R</v>
      </c>
      <c r="E3" cm="1">
        <f t="array" ref="E3">IFERROR(SMALL(IF((INDEX(Part2_data,,1)),MATCH(ROW(Part2_data),ROW(Part2_data)),""),ROW(tbl_part2[[#This Row],[uniquepersonnelid]])-1),"")</f>
        <v>2</v>
      </c>
      <c r="F3" t="str" cm="1">
        <f t="array" aca="1" ref="F3" ca="1">IFERROR(IF(tbl_part2[[#This Row],[uniquepersonnelid]]="","",INDEX(Part2_data,tbl_part2[[#This Row],[competency_index]],2)),"")</f>
        <v>SM-2</v>
      </c>
    </row>
    <row r="4" spans="1:6" x14ac:dyDescent="0.25">
      <c r="A4" t="str" cm="1">
        <f t="array" aca="1" ref="A4" ca="1">IF(tbl_part2[[#This Row],[competency_index]]="","",demographics[uniquepersonnelid])</f>
        <v>REG4A-01-301418-4363744</v>
      </c>
      <c r="B4" t="str">
        <f>IF(tbl_part2[[#This Row],[competency_index]]="","","SY "&amp;sy_start&amp;"-"&amp;sy_end)</f>
        <v>SY 2023-2024</v>
      </c>
      <c r="C4" t="str">
        <f>IF(tbl_part2[[#This Row],[competency_index]]="","",career_stage)</f>
        <v>P</v>
      </c>
      <c r="D4" t="str">
        <f>IF(tbl_part2[[#This Row],[competency_index]]="","",teacher_type)</f>
        <v>R</v>
      </c>
      <c r="E4" cm="1">
        <f t="array" ref="E4">IFERROR(SMALL(IF((INDEX(Part2_data,,1)),MATCH(ROW(Part2_data),ROW(Part2_data)),""),ROW(tbl_part2[[#This Row],[uniquepersonnelid]])-1),"")</f>
        <v>3</v>
      </c>
      <c r="F4" t="str" cm="1">
        <f t="array" aca="1" ref="F4" ca="1">IFERROR(IF(tbl_part2[[#This Row],[uniquepersonnelid]]="","",INDEX(Part2_data,tbl_part2[[#This Row],[competency_index]],2)),"")</f>
        <v>SM-3</v>
      </c>
    </row>
    <row r="5" spans="1:6" x14ac:dyDescent="0.25">
      <c r="A5" t="str" cm="1">
        <f t="array" aca="1" ref="A5" ca="1">IF(tbl_part2[[#This Row],[competency_index]]="","",demographics[uniquepersonnelid])</f>
        <v>REG4A-01-301418-4363744</v>
      </c>
      <c r="B5" t="str">
        <f>IF(tbl_part2[[#This Row],[competency_index]]="","","SY "&amp;sy_start&amp;"-"&amp;sy_end)</f>
        <v>SY 2023-2024</v>
      </c>
      <c r="C5" t="str">
        <f>IF(tbl_part2[[#This Row],[competency_index]]="","",career_stage)</f>
        <v>P</v>
      </c>
      <c r="D5" t="str">
        <f>IF(tbl_part2[[#This Row],[competency_index]]="","",teacher_type)</f>
        <v>R</v>
      </c>
      <c r="E5" cm="1">
        <f t="array" ref="E5">IFERROR(SMALL(IF((INDEX(Part2_data,,1)),MATCH(ROW(Part2_data),ROW(Part2_data)),""),ROW(tbl_part2[[#This Row],[uniquepersonnelid]])-1),"")</f>
        <v>4</v>
      </c>
      <c r="F5" t="str" cm="1">
        <f t="array" aca="1" ref="F5" ca="1">IFERROR(IF(tbl_part2[[#This Row],[uniquepersonnelid]]="","",INDEX(Part2_data,tbl_part2[[#This Row],[competency_index]],2)),"")</f>
        <v>SM-4</v>
      </c>
    </row>
    <row r="6" spans="1:6" x14ac:dyDescent="0.25">
      <c r="A6" t="str" cm="1">
        <f t="array" aca="1" ref="A6" ca="1">IF(tbl_part2[[#This Row],[competency_index]]="","",demographics[uniquepersonnelid])</f>
        <v>REG4A-01-301418-4363744</v>
      </c>
      <c r="B6" t="str">
        <f>IF(tbl_part2[[#This Row],[competency_index]]="","","SY "&amp;sy_start&amp;"-"&amp;sy_end)</f>
        <v>SY 2023-2024</v>
      </c>
      <c r="C6" t="str">
        <f>IF(tbl_part2[[#This Row],[competency_index]]="","",career_stage)</f>
        <v>P</v>
      </c>
      <c r="D6" t="str">
        <f>IF(tbl_part2[[#This Row],[competency_index]]="","",teacher_type)</f>
        <v>R</v>
      </c>
      <c r="E6" cm="1">
        <f t="array" ref="E6">IFERROR(SMALL(IF((INDEX(Part2_data,,1)),MATCH(ROW(Part2_data),ROW(Part2_data)),""),ROW(tbl_part2[[#This Row],[uniquepersonnelid]])-1),"")</f>
        <v>5</v>
      </c>
      <c r="F6" t="str" cm="1">
        <f t="array" aca="1" ref="F6" ca="1">IFERROR(IF(tbl_part2[[#This Row],[uniquepersonnelid]]="","",INDEX(Part2_data,tbl_part2[[#This Row],[competency_index]],2)),"")</f>
        <v>SM-5</v>
      </c>
    </row>
    <row r="7" spans="1:6" x14ac:dyDescent="0.25">
      <c r="A7" t="str" cm="1">
        <f t="array" aca="1" ref="A7" ca="1">IF(tbl_part2[[#This Row],[competency_index]]="","",demographics[uniquepersonnelid])</f>
        <v>REG4A-01-301418-4363744</v>
      </c>
      <c r="B7" t="str">
        <f>IF(tbl_part2[[#This Row],[competency_index]]="","","SY "&amp;sy_start&amp;"-"&amp;sy_end)</f>
        <v>SY 2023-2024</v>
      </c>
      <c r="C7" t="str">
        <f>IF(tbl_part2[[#This Row],[competency_index]]="","",career_stage)</f>
        <v>P</v>
      </c>
      <c r="D7" t="str">
        <f>IF(tbl_part2[[#This Row],[competency_index]]="","",teacher_type)</f>
        <v>R</v>
      </c>
      <c r="E7" cm="1">
        <f t="array" ref="E7">IFERROR(SMALL(IF((INDEX(Part2_data,,1)),MATCH(ROW(Part2_data),ROW(Part2_data)),""),ROW(tbl_part2[[#This Row],[uniquepersonnelid]])-1),"")</f>
        <v>6</v>
      </c>
      <c r="F7" t="str" cm="1">
        <f t="array" aca="1" ref="F7" ca="1">IFERROR(IF(tbl_part2[[#This Row],[uniquepersonnelid]]="","",INDEX(Part2_data,tbl_part2[[#This Row],[competency_index]],2)),"")</f>
        <v>P&amp;E-1</v>
      </c>
    </row>
    <row r="8" spans="1:6" x14ac:dyDescent="0.25">
      <c r="A8" t="str" cm="1">
        <f t="array" aca="1" ref="A8" ca="1">IF(tbl_part2[[#This Row],[competency_index]]="","",demographics[uniquepersonnelid])</f>
        <v>REG4A-01-301418-4363744</v>
      </c>
      <c r="B8" t="str">
        <f>IF(tbl_part2[[#This Row],[competency_index]]="","","SY "&amp;sy_start&amp;"-"&amp;sy_end)</f>
        <v>SY 2023-2024</v>
      </c>
      <c r="C8" t="str">
        <f>IF(tbl_part2[[#This Row],[competency_index]]="","",career_stage)</f>
        <v>P</v>
      </c>
      <c r="D8" t="str">
        <f>IF(tbl_part2[[#This Row],[competency_index]]="","",teacher_type)</f>
        <v>R</v>
      </c>
      <c r="E8" cm="1">
        <f t="array" ref="E8">IFERROR(SMALL(IF((INDEX(Part2_data,,1)),MATCH(ROW(Part2_data),ROW(Part2_data)),""),ROW(tbl_part2[[#This Row],[uniquepersonnelid]])-1),"")</f>
        <v>7</v>
      </c>
      <c r="F8" t="str" cm="1">
        <f t="array" aca="1" ref="F8" ca="1">IFERROR(IF(tbl_part2[[#This Row],[uniquepersonnelid]]="","",INDEX(Part2_data,tbl_part2[[#This Row],[competency_index]],2)),"")</f>
        <v>P&amp;E-2</v>
      </c>
    </row>
    <row r="9" spans="1:6" x14ac:dyDescent="0.25">
      <c r="A9" t="str" cm="1">
        <f t="array" aca="1" ref="A9" ca="1">IF(tbl_part2[[#This Row],[competency_index]]="","",demographics[uniquepersonnelid])</f>
        <v>REG4A-01-301418-4363744</v>
      </c>
      <c r="B9" t="str">
        <f>IF(tbl_part2[[#This Row],[competency_index]]="","","SY "&amp;sy_start&amp;"-"&amp;sy_end)</f>
        <v>SY 2023-2024</v>
      </c>
      <c r="C9" t="str">
        <f>IF(tbl_part2[[#This Row],[competency_index]]="","",career_stage)</f>
        <v>P</v>
      </c>
      <c r="D9" t="str">
        <f>IF(tbl_part2[[#This Row],[competency_index]]="","",teacher_type)</f>
        <v>R</v>
      </c>
      <c r="E9" cm="1">
        <f t="array" ref="E9">IFERROR(SMALL(IF((INDEX(Part2_data,,1)),MATCH(ROW(Part2_data),ROW(Part2_data)),""),ROW(tbl_part2[[#This Row],[uniquepersonnelid]])-1),"")</f>
        <v>8</v>
      </c>
      <c r="F9" t="str" cm="1">
        <f t="array" aca="1" ref="F9" ca="1">IFERROR(IF(tbl_part2[[#This Row],[uniquepersonnelid]]="","",INDEX(Part2_data,tbl_part2[[#This Row],[competency_index]],2)),"")</f>
        <v>P&amp;E-3</v>
      </c>
    </row>
    <row r="10" spans="1:6" x14ac:dyDescent="0.25">
      <c r="A10" t="str" cm="1">
        <f t="array" aca="1" ref="A10" ca="1">IF(tbl_part2[[#This Row],[competency_index]]="","",demographics[uniquepersonnelid])</f>
        <v>REG4A-01-301418-4363744</v>
      </c>
      <c r="B10" t="str">
        <f>IF(tbl_part2[[#This Row],[competency_index]]="","","SY "&amp;sy_start&amp;"-"&amp;sy_end)</f>
        <v>SY 2023-2024</v>
      </c>
      <c r="C10" t="str">
        <f>IF(tbl_part2[[#This Row],[competency_index]]="","",career_stage)</f>
        <v>P</v>
      </c>
      <c r="D10" t="str">
        <f>IF(tbl_part2[[#This Row],[competency_index]]="","",teacher_type)</f>
        <v>R</v>
      </c>
      <c r="E10" cm="1">
        <f t="array" ref="E10">IFERROR(SMALL(IF((INDEX(Part2_data,,1)),MATCH(ROW(Part2_data),ROW(Part2_data)),""),ROW(tbl_part2[[#This Row],[uniquepersonnelid]])-1),"")</f>
        <v>10</v>
      </c>
      <c r="F10" t="str" cm="1">
        <f t="array" aca="1" ref="F10" ca="1">IFERROR(IF(tbl_part2[[#This Row],[uniquepersonnelid]]="","",INDEX(Part2_data,tbl_part2[[#This Row],[competency_index]],2)),"")</f>
        <v>P&amp;E-5</v>
      </c>
    </row>
    <row r="11" spans="1:6" x14ac:dyDescent="0.25">
      <c r="A11" t="str" cm="1">
        <f t="array" aca="1" ref="A11" ca="1">IF(tbl_part2[[#This Row],[competency_index]]="","",demographics[uniquepersonnelid])</f>
        <v>REG4A-01-301418-4363744</v>
      </c>
      <c r="B11" t="str">
        <f>IF(tbl_part2[[#This Row],[competency_index]]="","","SY "&amp;sy_start&amp;"-"&amp;sy_end)</f>
        <v>SY 2023-2024</v>
      </c>
      <c r="C11" t="str">
        <f>IF(tbl_part2[[#This Row],[competency_index]]="","",career_stage)</f>
        <v>P</v>
      </c>
      <c r="D11" t="str">
        <f>IF(tbl_part2[[#This Row],[competency_index]]="","",teacher_type)</f>
        <v>R</v>
      </c>
      <c r="E11" cm="1">
        <f t="array" ref="E11">IFERROR(SMALL(IF((INDEX(Part2_data,,1)),MATCH(ROW(Part2_data),ROW(Part2_data)),""),ROW(tbl_part2[[#This Row],[uniquepersonnelid]])-1),"")</f>
        <v>11</v>
      </c>
      <c r="F11" t="str" cm="1">
        <f t="array" aca="1" ref="F11" ca="1">IFERROR(IF(tbl_part2[[#This Row],[uniquepersonnelid]]="","",INDEX(Part2_data,tbl_part2[[#This Row],[competency_index]],2)),"")</f>
        <v>RF-1</v>
      </c>
    </row>
    <row r="12" spans="1:6" x14ac:dyDescent="0.25">
      <c r="A12" t="str" cm="1">
        <f t="array" aca="1" ref="A12" ca="1">IF(tbl_part2[[#This Row],[competency_index]]="","",demographics[uniquepersonnelid])</f>
        <v>REG4A-01-301418-4363744</v>
      </c>
      <c r="B12" t="str">
        <f>IF(tbl_part2[[#This Row],[competency_index]]="","","SY "&amp;sy_start&amp;"-"&amp;sy_end)</f>
        <v>SY 2023-2024</v>
      </c>
      <c r="C12" t="str">
        <f>IF(tbl_part2[[#This Row],[competency_index]]="","",career_stage)</f>
        <v>P</v>
      </c>
      <c r="D12" t="str">
        <f>IF(tbl_part2[[#This Row],[competency_index]]="","",teacher_type)</f>
        <v>R</v>
      </c>
      <c r="E12" cm="1">
        <f t="array" ref="E12">IFERROR(SMALL(IF((INDEX(Part2_data,,1)),MATCH(ROW(Part2_data),ROW(Part2_data)),""),ROW(tbl_part2[[#This Row],[uniquepersonnelid]])-1),"")</f>
        <v>13</v>
      </c>
      <c r="F12" t="str" cm="1">
        <f t="array" aca="1" ref="F12" ca="1">IFERROR(IF(tbl_part2[[#This Row],[uniquepersonnelid]]="","",INDEX(Part2_data,tbl_part2[[#This Row],[competency_index]],2)),"")</f>
        <v>RF-3</v>
      </c>
    </row>
    <row r="13" spans="1:6" x14ac:dyDescent="0.25">
      <c r="A13" t="str" cm="1">
        <f t="array" aca="1" ref="A13" ca="1">IF(tbl_part2[[#This Row],[competency_index]]="","",demographics[uniquepersonnelid])</f>
        <v>REG4A-01-301418-4363744</v>
      </c>
      <c r="B13" t="str">
        <f>IF(tbl_part2[[#This Row],[competency_index]]="","","SY "&amp;sy_start&amp;"-"&amp;sy_end)</f>
        <v>SY 2023-2024</v>
      </c>
      <c r="C13" t="str">
        <f>IF(tbl_part2[[#This Row],[competency_index]]="","",career_stage)</f>
        <v>P</v>
      </c>
      <c r="D13" t="str">
        <f>IF(tbl_part2[[#This Row],[competency_index]]="","",teacher_type)</f>
        <v>R</v>
      </c>
      <c r="E13" cm="1">
        <f t="array" ref="E13">IFERROR(SMALL(IF((INDEX(Part2_data,,1)),MATCH(ROW(Part2_data),ROW(Part2_data)),""),ROW(tbl_part2[[#This Row],[uniquepersonnelid]])-1),"")</f>
        <v>14</v>
      </c>
      <c r="F13" t="str" cm="1">
        <f t="array" aca="1" ref="F13" ca="1">IFERROR(IF(tbl_part2[[#This Row],[uniquepersonnelid]]="","",INDEX(Part2_data,tbl_part2[[#This Row],[competency_index]],2)),"")</f>
        <v>RF-4</v>
      </c>
    </row>
    <row r="14" spans="1:6" x14ac:dyDescent="0.25">
      <c r="A14" t="str" cm="1">
        <f t="array" aca="1" ref="A14" ca="1">IF(tbl_part2[[#This Row],[competency_index]]="","",demographics[uniquepersonnelid])</f>
        <v>REG4A-01-301418-4363744</v>
      </c>
      <c r="B14" t="str">
        <f>IF(tbl_part2[[#This Row],[competency_index]]="","","SY "&amp;sy_start&amp;"-"&amp;sy_end)</f>
        <v>SY 2023-2024</v>
      </c>
      <c r="C14" t="str">
        <f>IF(tbl_part2[[#This Row],[competency_index]]="","",career_stage)</f>
        <v>P</v>
      </c>
      <c r="D14" t="str">
        <f>IF(tbl_part2[[#This Row],[competency_index]]="","",teacher_type)</f>
        <v>R</v>
      </c>
      <c r="E14" cm="1">
        <f t="array" ref="E14">IFERROR(SMALL(IF((INDEX(Part2_data,,1)),MATCH(ROW(Part2_data),ROW(Part2_data)),""),ROW(tbl_part2[[#This Row],[uniquepersonnelid]])-1),"")</f>
        <v>15</v>
      </c>
      <c r="F14" t="str" cm="1">
        <f t="array" aca="1" ref="F14" ca="1">IFERROR(IF(tbl_part2[[#This Row],[uniquepersonnelid]]="","",INDEX(Part2_data,tbl_part2[[#This Row],[competency_index]],2)),"")</f>
        <v>RF-5</v>
      </c>
    </row>
    <row r="15" spans="1:6" x14ac:dyDescent="0.25">
      <c r="A15" t="str" cm="1">
        <f t="array" aca="1" ref="A15" ca="1">IF(tbl_part2[[#This Row],[competency_index]]="","",demographics[uniquepersonnelid])</f>
        <v>REG4A-01-301418-4363744</v>
      </c>
      <c r="B15" t="str">
        <f>IF(tbl_part2[[#This Row],[competency_index]]="","","SY "&amp;sy_start&amp;"-"&amp;sy_end)</f>
        <v>SY 2023-2024</v>
      </c>
      <c r="C15" t="str">
        <f>IF(tbl_part2[[#This Row],[competency_index]]="","",career_stage)</f>
        <v>P</v>
      </c>
      <c r="D15" t="str">
        <f>IF(tbl_part2[[#This Row],[competency_index]]="","",teacher_type)</f>
        <v>R</v>
      </c>
      <c r="E15" cm="1">
        <f t="array" ref="E15">IFERROR(SMALL(IF((INDEX(Part2_data,,1)),MATCH(ROW(Part2_data),ROW(Part2_data)),""),ROW(tbl_part2[[#This Row],[uniquepersonnelid]])-1),"")</f>
        <v>16</v>
      </c>
      <c r="F15" t="str" cm="1">
        <f t="array" aca="1" ref="F15" ca="1">IFERROR(IF(tbl_part2[[#This Row],[uniquepersonnelid]]="","",INDEX(Part2_data,tbl_part2[[#This Row],[competency_index]],2)),"")</f>
        <v>TW-1</v>
      </c>
    </row>
    <row r="16" spans="1:6" x14ac:dyDescent="0.25">
      <c r="A16" t="str" cm="1">
        <f t="array" aca="1" ref="A16" ca="1">IF(tbl_part2[[#This Row],[competency_index]]="","",demographics[uniquepersonnelid])</f>
        <v>REG4A-01-301418-4363744</v>
      </c>
      <c r="B16" t="str">
        <f>IF(tbl_part2[[#This Row],[competency_index]]="","","SY "&amp;sy_start&amp;"-"&amp;sy_end)</f>
        <v>SY 2023-2024</v>
      </c>
      <c r="C16" t="str">
        <f>IF(tbl_part2[[#This Row],[competency_index]]="","",career_stage)</f>
        <v>P</v>
      </c>
      <c r="D16" t="str">
        <f>IF(tbl_part2[[#This Row],[competency_index]]="","",teacher_type)</f>
        <v>R</v>
      </c>
      <c r="E16" cm="1">
        <f t="array" ref="E16">IFERROR(SMALL(IF((INDEX(Part2_data,,1)),MATCH(ROW(Part2_data),ROW(Part2_data)),""),ROW(tbl_part2[[#This Row],[uniquepersonnelid]])-1),"")</f>
        <v>17</v>
      </c>
      <c r="F16" t="str" cm="1">
        <f t="array" aca="1" ref="F16" ca="1">IFERROR(IF(tbl_part2[[#This Row],[uniquepersonnelid]]="","",INDEX(Part2_data,tbl_part2[[#This Row],[competency_index]],2)),"")</f>
        <v>TW-2</v>
      </c>
    </row>
    <row r="17" spans="1:6" x14ac:dyDescent="0.25">
      <c r="A17" t="str" cm="1">
        <f t="array" aca="1" ref="A17" ca="1">IF(tbl_part2[[#This Row],[competency_index]]="","",demographics[uniquepersonnelid])</f>
        <v>REG4A-01-301418-4363744</v>
      </c>
      <c r="B17" t="str">
        <f>IF(tbl_part2[[#This Row],[competency_index]]="","","SY "&amp;sy_start&amp;"-"&amp;sy_end)</f>
        <v>SY 2023-2024</v>
      </c>
      <c r="C17" t="str">
        <f>IF(tbl_part2[[#This Row],[competency_index]]="","",career_stage)</f>
        <v>P</v>
      </c>
      <c r="D17" t="str">
        <f>IF(tbl_part2[[#This Row],[competency_index]]="","",teacher_type)</f>
        <v>R</v>
      </c>
      <c r="E17" cm="1">
        <f t="array" ref="E17">IFERROR(SMALL(IF((INDEX(Part2_data,,1)),MATCH(ROW(Part2_data),ROW(Part2_data)),""),ROW(tbl_part2[[#This Row],[uniquepersonnelid]])-1),"")</f>
        <v>19</v>
      </c>
      <c r="F17" t="str" cm="1">
        <f t="array" aca="1" ref="F17" ca="1">IFERROR(IF(tbl_part2[[#This Row],[uniquepersonnelid]]="","",INDEX(Part2_data,tbl_part2[[#This Row],[competency_index]],2)),"")</f>
        <v>TW-4</v>
      </c>
    </row>
    <row r="18" spans="1:6" x14ac:dyDescent="0.25">
      <c r="A18" t="str" cm="1">
        <f t="array" aca="1" ref="A18" ca="1">IF(tbl_part2[[#This Row],[competency_index]]="","",demographics[uniquepersonnelid])</f>
        <v>REG4A-01-301418-4363744</v>
      </c>
      <c r="B18" t="str">
        <f>IF(tbl_part2[[#This Row],[competency_index]]="","","SY "&amp;sy_start&amp;"-"&amp;sy_end)</f>
        <v>SY 2023-2024</v>
      </c>
      <c r="C18" t="str">
        <f>IF(tbl_part2[[#This Row],[competency_index]]="","",career_stage)</f>
        <v>P</v>
      </c>
      <c r="D18" t="str">
        <f>IF(tbl_part2[[#This Row],[competency_index]]="","",teacher_type)</f>
        <v>R</v>
      </c>
      <c r="E18" cm="1">
        <f t="array" ref="E18">IFERROR(SMALL(IF((INDEX(Part2_data,,1)),MATCH(ROW(Part2_data),ROW(Part2_data)),""),ROW(tbl_part2[[#This Row],[uniquepersonnelid]])-1),"")</f>
        <v>20</v>
      </c>
      <c r="F18" t="str" cm="1">
        <f t="array" aca="1" ref="F18" ca="1">IFERROR(IF(tbl_part2[[#This Row],[uniquepersonnelid]]="","",INDEX(Part2_data,tbl_part2[[#This Row],[competency_index]],2)),"")</f>
        <v>TW-5</v>
      </c>
    </row>
    <row r="19" spans="1:6" x14ac:dyDescent="0.25">
      <c r="A19" t="str" cm="1">
        <f t="array" aca="1" ref="A19" ca="1">IF(tbl_part2[[#This Row],[competency_index]]="","",demographics[uniquepersonnelid])</f>
        <v>REG4A-01-301418-4363744</v>
      </c>
      <c r="B19" t="str">
        <f>IF(tbl_part2[[#This Row],[competency_index]]="","","SY "&amp;sy_start&amp;"-"&amp;sy_end)</f>
        <v>SY 2023-2024</v>
      </c>
      <c r="C19" t="str">
        <f>IF(tbl_part2[[#This Row],[competency_index]]="","",career_stage)</f>
        <v>P</v>
      </c>
      <c r="D19" t="str">
        <f>IF(tbl_part2[[#This Row],[competency_index]]="","",teacher_type)</f>
        <v>R</v>
      </c>
      <c r="E19" cm="1">
        <f t="array" ref="E19">IFERROR(SMALL(IF((INDEX(Part2_data,,1)),MATCH(ROW(Part2_data),ROW(Part2_data)),""),ROW(tbl_part2[[#This Row],[uniquepersonnelid]])-1),"")</f>
        <v>21</v>
      </c>
      <c r="F19" t="str" cm="1">
        <f t="array" aca="1" ref="F19" ca="1">IFERROR(IF(tbl_part2[[#This Row],[uniquepersonnelid]]="","",INDEX(Part2_data,tbl_part2[[#This Row],[competency_index]],2)),"")</f>
        <v>SO-1</v>
      </c>
    </row>
    <row r="20" spans="1:6" x14ac:dyDescent="0.25">
      <c r="A20" t="str" cm="1">
        <f t="array" aca="1" ref="A20" ca="1">IF(tbl_part2[[#This Row],[competency_index]]="","",demographics[uniquepersonnelid])</f>
        <v>REG4A-01-301418-4363744</v>
      </c>
      <c r="B20" t="str">
        <f>IF(tbl_part2[[#This Row],[competency_index]]="","","SY "&amp;sy_start&amp;"-"&amp;sy_end)</f>
        <v>SY 2023-2024</v>
      </c>
      <c r="C20" t="str">
        <f>IF(tbl_part2[[#This Row],[competency_index]]="","",career_stage)</f>
        <v>P</v>
      </c>
      <c r="D20" t="str">
        <f>IF(tbl_part2[[#This Row],[competency_index]]="","",teacher_type)</f>
        <v>R</v>
      </c>
      <c r="E20" cm="1">
        <f t="array" ref="E20">IFERROR(SMALL(IF((INDEX(Part2_data,,1)),MATCH(ROW(Part2_data),ROW(Part2_data)),""),ROW(tbl_part2[[#This Row],[uniquepersonnelid]])-1),"")</f>
        <v>22</v>
      </c>
      <c r="F20" t="str" cm="1">
        <f t="array" aca="1" ref="F20" ca="1">IFERROR(IF(tbl_part2[[#This Row],[uniquepersonnelid]]="","",INDEX(Part2_data,tbl_part2[[#This Row],[competency_index]],2)),"")</f>
        <v>SO-2</v>
      </c>
    </row>
    <row r="21" spans="1:6" x14ac:dyDescent="0.25">
      <c r="A21" t="str" cm="1">
        <f t="array" aca="1" ref="A21" ca="1">IF(tbl_part2[[#This Row],[competency_index]]="","",demographics[uniquepersonnelid])</f>
        <v>REG4A-01-301418-4363744</v>
      </c>
      <c r="B21" t="str">
        <f>IF(tbl_part2[[#This Row],[competency_index]]="","","SY "&amp;sy_start&amp;"-"&amp;sy_end)</f>
        <v>SY 2023-2024</v>
      </c>
      <c r="C21" t="str">
        <f>IF(tbl_part2[[#This Row],[competency_index]]="","",career_stage)</f>
        <v>P</v>
      </c>
      <c r="D21" t="str">
        <f>IF(tbl_part2[[#This Row],[competency_index]]="","",teacher_type)</f>
        <v>R</v>
      </c>
      <c r="E21" cm="1">
        <f t="array" ref="E21">IFERROR(SMALL(IF((INDEX(Part2_data,,1)),MATCH(ROW(Part2_data),ROW(Part2_data)),""),ROW(tbl_part2[[#This Row],[uniquepersonnelid]])-1),"")</f>
        <v>23</v>
      </c>
      <c r="F21" t="str" cm="1">
        <f t="array" aca="1" ref="F21" ca="1">IFERROR(IF(tbl_part2[[#This Row],[uniquepersonnelid]]="","",INDEX(Part2_data,tbl_part2[[#This Row],[competency_index]],2)),"")</f>
        <v>SO-3</v>
      </c>
    </row>
    <row r="22" spans="1:6" x14ac:dyDescent="0.25">
      <c r="A22" t="str" cm="1">
        <f t="array" aca="1" ref="A22" ca="1">IF(tbl_part2[[#This Row],[competency_index]]="","",demographics[uniquepersonnelid])</f>
        <v>REG4A-01-301418-4363744</v>
      </c>
      <c r="B22" t="str">
        <f>IF(tbl_part2[[#This Row],[competency_index]]="","","SY "&amp;sy_start&amp;"-"&amp;sy_end)</f>
        <v>SY 2023-2024</v>
      </c>
      <c r="C22" t="str">
        <f>IF(tbl_part2[[#This Row],[competency_index]]="","",career_stage)</f>
        <v>P</v>
      </c>
      <c r="D22" t="str">
        <f>IF(tbl_part2[[#This Row],[competency_index]]="","",teacher_type)</f>
        <v>R</v>
      </c>
      <c r="E22" cm="1">
        <f t="array" ref="E22">IFERROR(SMALL(IF((INDEX(Part2_data,,1)),MATCH(ROW(Part2_data),ROW(Part2_data)),""),ROW(tbl_part2[[#This Row],[uniquepersonnelid]])-1),"")</f>
        <v>24</v>
      </c>
      <c r="F22" t="str" cm="1">
        <f t="array" aca="1" ref="F22" ca="1">IFERROR(IF(tbl_part2[[#This Row],[uniquepersonnelid]]="","",INDEX(Part2_data,tbl_part2[[#This Row],[competency_index]],2)),"")</f>
        <v>SO-4</v>
      </c>
    </row>
    <row r="23" spans="1:6" x14ac:dyDescent="0.25">
      <c r="A23" t="str" cm="1">
        <f t="array" aca="1" ref="A23" ca="1">IF(tbl_part2[[#This Row],[competency_index]]="","",demographics[uniquepersonnelid])</f>
        <v>REG4A-01-301418-4363744</v>
      </c>
      <c r="B23" t="str">
        <f>IF(tbl_part2[[#This Row],[competency_index]]="","","SY "&amp;sy_start&amp;"-"&amp;sy_end)</f>
        <v>SY 2023-2024</v>
      </c>
      <c r="C23" t="str">
        <f>IF(tbl_part2[[#This Row],[competency_index]]="","",career_stage)</f>
        <v>P</v>
      </c>
      <c r="D23" t="str">
        <f>IF(tbl_part2[[#This Row],[competency_index]]="","",teacher_type)</f>
        <v>R</v>
      </c>
      <c r="E23" cm="1">
        <f t="array" ref="E23">IFERROR(SMALL(IF((INDEX(Part2_data,,1)),MATCH(ROW(Part2_data),ROW(Part2_data)),""),ROW(tbl_part2[[#This Row],[uniquepersonnelid]])-1),"")</f>
        <v>25</v>
      </c>
      <c r="F23" t="str" cm="1">
        <f t="array" aca="1" ref="F23" ca="1">IFERROR(IF(tbl_part2[[#This Row],[uniquepersonnelid]]="","",INDEX(Part2_data,tbl_part2[[#This Row],[competency_index]],2)),"")</f>
        <v>SO-5</v>
      </c>
    </row>
    <row r="24" spans="1:6" x14ac:dyDescent="0.25">
      <c r="A24" t="str" cm="1">
        <f t="array" aca="1" ref="A24" ca="1">IF(tbl_part2[[#This Row],[competency_index]]="","",demographics[uniquepersonnelid])</f>
        <v>REG4A-01-301418-4363744</v>
      </c>
      <c r="B24" t="str">
        <f>IF(tbl_part2[[#This Row],[competency_index]]="","","SY "&amp;sy_start&amp;"-"&amp;sy_end)</f>
        <v>SY 2023-2024</v>
      </c>
      <c r="C24" t="str">
        <f>IF(tbl_part2[[#This Row],[competency_index]]="","",career_stage)</f>
        <v>P</v>
      </c>
      <c r="D24" t="str">
        <f>IF(tbl_part2[[#This Row],[competency_index]]="","",teacher_type)</f>
        <v>R</v>
      </c>
      <c r="E24" cm="1">
        <f t="array" ref="E24">IFERROR(SMALL(IF((INDEX(Part2_data,,1)),MATCH(ROW(Part2_data),ROW(Part2_data)),""),ROW(tbl_part2[[#This Row],[uniquepersonnelid]])-1),"")</f>
        <v>26</v>
      </c>
      <c r="F24" t="str" cm="1">
        <f t="array" aca="1" ref="F24" ca="1">IFERROR(IF(tbl_part2[[#This Row],[uniquepersonnelid]]="","",INDEX(Part2_data,tbl_part2[[#This Row],[competency_index]],2)),"")</f>
        <v>INNOV-1</v>
      </c>
    </row>
    <row r="25" spans="1:6" x14ac:dyDescent="0.25">
      <c r="A25" t="str" cm="1">
        <f t="array" aca="1" ref="A25" ca="1">IF(tbl_part2[[#This Row],[competency_index]]="","",demographics[uniquepersonnelid])</f>
        <v>REG4A-01-301418-4363744</v>
      </c>
      <c r="B25" t="str">
        <f>IF(tbl_part2[[#This Row],[competency_index]]="","","SY "&amp;sy_start&amp;"-"&amp;sy_end)</f>
        <v>SY 2023-2024</v>
      </c>
      <c r="C25" t="str">
        <f>IF(tbl_part2[[#This Row],[competency_index]]="","",career_stage)</f>
        <v>P</v>
      </c>
      <c r="D25" t="str">
        <f>IF(tbl_part2[[#This Row],[competency_index]]="","",teacher_type)</f>
        <v>R</v>
      </c>
      <c r="E25" cm="1">
        <f t="array" ref="E25">IFERROR(SMALL(IF((INDEX(Part2_data,,1)),MATCH(ROW(Part2_data),ROW(Part2_data)),""),ROW(tbl_part2[[#This Row],[uniquepersonnelid]])-1),"")</f>
        <v>27</v>
      </c>
      <c r="F25" t="str" cm="1">
        <f t="array" aca="1" ref="F25" ca="1">IFERROR(IF(tbl_part2[[#This Row],[uniquepersonnelid]]="","",INDEX(Part2_data,tbl_part2[[#This Row],[competency_index]],2)),"")</f>
        <v>INNOV-2</v>
      </c>
    </row>
    <row r="26" spans="1:6" x14ac:dyDescent="0.25">
      <c r="A26" t="str" cm="1">
        <f t="array" aca="1" ref="A26" ca="1">IF(tbl_part2[[#This Row],[competency_index]]="","",demographics[uniquepersonnelid])</f>
        <v>REG4A-01-301418-4363744</v>
      </c>
      <c r="B26" t="str">
        <f>IF(tbl_part2[[#This Row],[competency_index]]="","","SY "&amp;sy_start&amp;"-"&amp;sy_end)</f>
        <v>SY 2023-2024</v>
      </c>
      <c r="C26" t="str">
        <f>IF(tbl_part2[[#This Row],[competency_index]]="","",career_stage)</f>
        <v>P</v>
      </c>
      <c r="D26" t="str">
        <f>IF(tbl_part2[[#This Row],[competency_index]]="","",teacher_type)</f>
        <v>R</v>
      </c>
      <c r="E26" cm="1">
        <f t="array" ref="E26">IFERROR(SMALL(IF((INDEX(Part2_data,,1)),MATCH(ROW(Part2_data),ROW(Part2_data)),""),ROW(tbl_part2[[#This Row],[uniquepersonnelid]])-1),"")</f>
        <v>28</v>
      </c>
      <c r="F26" t="str" cm="1">
        <f t="array" aca="1" ref="F26" ca="1">IFERROR(IF(tbl_part2[[#This Row],[uniquepersonnelid]]="","",INDEX(Part2_data,tbl_part2[[#This Row],[competency_index]],2)),"")</f>
        <v>INNOV-3</v>
      </c>
    </row>
    <row r="27" spans="1:6" x14ac:dyDescent="0.25">
      <c r="A27" t="str" cm="1">
        <f t="array" aca="1" ref="A27" ca="1">IF(tbl_part2[[#This Row],[competency_index]]="","",demographics[uniquepersonnelid])</f>
        <v>REG4A-01-301418-4363744</v>
      </c>
      <c r="B27" t="str">
        <f>IF(tbl_part2[[#This Row],[competency_index]]="","","SY "&amp;sy_start&amp;"-"&amp;sy_end)</f>
        <v>SY 2023-2024</v>
      </c>
      <c r="C27" t="str">
        <f>IF(tbl_part2[[#This Row],[competency_index]]="","",career_stage)</f>
        <v>P</v>
      </c>
      <c r="D27" t="str">
        <f>IF(tbl_part2[[#This Row],[competency_index]]="","",teacher_type)</f>
        <v>R</v>
      </c>
      <c r="E27" cm="1">
        <f t="array" ref="E27">IFERROR(SMALL(IF((INDEX(Part2_data,,1)),MATCH(ROW(Part2_data),ROW(Part2_data)),""),ROW(tbl_part2[[#This Row],[uniquepersonnelid]])-1),"")</f>
        <v>29</v>
      </c>
      <c r="F27" t="str" cm="1">
        <f t="array" aca="1" ref="F27" ca="1">IFERROR(IF(tbl_part2[[#This Row],[uniquepersonnelid]]="","",INDEX(Part2_data,tbl_part2[[#This Row],[competency_index]],2)),"")</f>
        <v>INNOV-4</v>
      </c>
    </row>
    <row r="28" spans="1:6" x14ac:dyDescent="0.25">
      <c r="A28" t="str" cm="1">
        <f t="array" aca="1" ref="A28" ca="1">IF(tbl_part2[[#This Row],[competency_index]]="","",demographics[uniquepersonnelid])</f>
        <v>REG4A-01-301418-4363744</v>
      </c>
      <c r="B28" t="str">
        <f>IF(tbl_part2[[#This Row],[competency_index]]="","","SY "&amp;sy_start&amp;"-"&amp;sy_end)</f>
        <v>SY 2023-2024</v>
      </c>
      <c r="C28" t="str">
        <f>IF(tbl_part2[[#This Row],[competency_index]]="","",career_stage)</f>
        <v>P</v>
      </c>
      <c r="D28" t="str">
        <f>IF(tbl_part2[[#This Row],[competency_index]]="","",teacher_type)</f>
        <v>R</v>
      </c>
      <c r="E28" cm="1">
        <f t="array" ref="E28">IFERROR(SMALL(IF((INDEX(Part2_data,,1)),MATCH(ROW(Part2_data),ROW(Part2_data)),""),ROW(tbl_part2[[#This Row],[uniquepersonnelid]])-1),"")</f>
        <v>30</v>
      </c>
      <c r="F28" t="str" cm="1">
        <f t="array" aca="1" ref="F28" ca="1">IFERROR(IF(tbl_part2[[#This Row],[uniquepersonnelid]]="","",INDEX(Part2_data,tbl_part2[[#This Row],[competency_index]],2)),"")</f>
        <v>INNOV-5</v>
      </c>
    </row>
    <row r="29" spans="1:6" x14ac:dyDescent="0.25">
      <c r="A29" t="str" cm="1">
        <f t="array" ref="A29">IF(tbl_part2[[#This Row],[competency_index]]="","",demographics[uniquepersonnelid])</f>
        <v/>
      </c>
      <c r="B29" t="str">
        <f>IF(tbl_part2[[#This Row],[competency_index]]="","","SY "&amp;sy_start&amp;"-"&amp;sy_end)</f>
        <v/>
      </c>
      <c r="C29" t="str">
        <f>IF(tbl_part2[[#This Row],[competency_index]]="","",career_stage)</f>
        <v/>
      </c>
      <c r="D29" t="str">
        <f>IF(tbl_part2[[#This Row],[competency_index]]="","",teacher_type)</f>
        <v/>
      </c>
      <c r="E29" t="str" cm="1">
        <f t="array" ref="E29">IFERROR(SMALL(IF((INDEX(Part2_data,,1)),MATCH(ROW(Part2_data),ROW(Part2_data)),""),ROW(tbl_part2[[#This Row],[uniquepersonnelid]])-1),"")</f>
        <v/>
      </c>
      <c r="F29" t="str" cm="1">
        <f t="array" ref="F29">IFERROR(IF(tbl_part2[[#This Row],[uniquepersonnelid]]="","",INDEX(Part2_data,tbl_part2[[#This Row],[competency_index]],2)),"")</f>
        <v/>
      </c>
    </row>
    <row r="30" spans="1:6" x14ac:dyDescent="0.25">
      <c r="A30" t="str" cm="1">
        <f t="array" ref="A30">IF(tbl_part2[[#This Row],[competency_index]]="","",demographics[uniquepersonnelid])</f>
        <v/>
      </c>
      <c r="B30" t="str">
        <f>IF(tbl_part2[[#This Row],[competency_index]]="","","SY "&amp;sy_start&amp;"-"&amp;sy_end)</f>
        <v/>
      </c>
      <c r="C30" t="str">
        <f>IF(tbl_part2[[#This Row],[competency_index]]="","",career_stage)</f>
        <v/>
      </c>
      <c r="D30" t="str">
        <f>IF(tbl_part2[[#This Row],[competency_index]]="","",teacher_type)</f>
        <v/>
      </c>
      <c r="E30" t="str" cm="1">
        <f t="array" ref="E30">IFERROR(SMALL(IF((INDEX(Part2_data,,1)),MATCH(ROW(Part2_data),ROW(Part2_data)),""),ROW(tbl_part2[[#This Row],[uniquepersonnelid]])-1),"")</f>
        <v/>
      </c>
      <c r="F30" t="str" cm="1">
        <f t="array" ref="F30">IFERROR(IF(tbl_part2[[#This Row],[uniquepersonnelid]]="","",INDEX(Part2_data,tbl_part2[[#This Row],[competency_index]],2)),"")</f>
        <v/>
      </c>
    </row>
    <row r="31" spans="1:6" x14ac:dyDescent="0.25">
      <c r="A31" t="str" cm="1">
        <f t="array" ref="A31">IF(tbl_part2[[#This Row],[competency_index]]="","",demographics[uniquepersonnelid])</f>
        <v/>
      </c>
      <c r="B31" t="str">
        <f>IF(tbl_part2[[#This Row],[competency_index]]="","","SY "&amp;sy_start&amp;"-"&amp;sy_end)</f>
        <v/>
      </c>
      <c r="C31" t="str">
        <f>IF(tbl_part2[[#This Row],[competency_index]]="","",career_stage)</f>
        <v/>
      </c>
      <c r="D31" t="str">
        <f>IF(tbl_part2[[#This Row],[competency_index]]="","",teacher_type)</f>
        <v/>
      </c>
      <c r="E31" t="str" cm="1">
        <f t="array" ref="E31">IFERROR(SMALL(IF((INDEX(Part2_data,,1)),MATCH(ROW(Part2_data),ROW(Part2_data)),""),ROW(tbl_part2[[#This Row],[uniquepersonnelid]])-1),"")</f>
        <v/>
      </c>
      <c r="F31" t="str" cm="1">
        <f t="array" ref="F31">IFERROR(IF(tbl_part2[[#This Row],[uniquepersonnelid]]="","",INDEX(Part2_data,tbl_part2[[#This Row],[competency_index]],2)),"")</f>
        <v/>
      </c>
    </row>
  </sheetData>
  <sheetProtection algorithmName="SHA-512" hashValue="Fc1Dq/tTT1NmoyVZN7kVR8Od9q+FIm09gJHRXbmBvtXD7U6Z/HzAQGe3I6kPD4Gq+AhCTr5dR89R/iVcBlnqFQ==" saltValue="9lFGG856RzwogUPvbNSRsQ==" spinCount="100000" sheet="1" objects="1" scenarios="1" selectLockedCells="1" selectUnlockedCells="1"/>
  <phoneticPr fontId="31" type="noConversion"/>
  <pageMargins left="0.7" right="0.7" top="0.75" bottom="0.75" header="0.3" footer="0.3"/>
  <pageSetup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203D-5245-A54D-8271-3051BE7DAFD6}">
  <sheetPr codeName="tbl_part4_functional_strengths"/>
  <dimension ref="A1:E39"/>
  <sheetViews>
    <sheetView zoomScale="175" zoomScaleNormal="337" workbookViewId="0">
      <selection activeCell="D22" sqref="D22"/>
    </sheetView>
  </sheetViews>
  <sheetFormatPr defaultColWidth="8.85546875" defaultRowHeight="15" x14ac:dyDescent="0.25"/>
  <cols>
    <col min="1" max="1" width="23.85546875" customWidth="1"/>
    <col min="2" max="2" width="14.140625" bestFit="1" customWidth="1"/>
    <col min="3" max="3" width="12" customWidth="1"/>
    <col min="4" max="4" width="13" customWidth="1"/>
    <col min="5" max="5" width="10.28515625" customWidth="1"/>
  </cols>
  <sheetData>
    <row r="1" spans="1:5" x14ac:dyDescent="0.25">
      <c r="A1" t="s">
        <v>23</v>
      </c>
      <c r="B1" t="s">
        <v>5</v>
      </c>
      <c r="C1" t="s">
        <v>7</v>
      </c>
      <c r="D1" t="s">
        <v>6</v>
      </c>
      <c r="E1" t="s">
        <v>102</v>
      </c>
    </row>
    <row r="2" spans="1:5" x14ac:dyDescent="0.25">
      <c r="A2" t="str" cm="1">
        <f t="array" aca="1" ref="A2" ca="1">IF(part4_fstrengths[[#This Row],[functional_strengths]]="","",demographics[uniquepersonnelid])</f>
        <v>REG4A-01-301418-4363744</v>
      </c>
      <c r="B2" t="str">
        <f>IF(part4_fstrengths[[#This Row],[functional_strengths]]="","","SY "&amp;sy_start&amp;"-"&amp;sy_end)</f>
        <v>SY 2023-2024</v>
      </c>
      <c r="C2" t="str">
        <f>IF(part4_fstrengths[[#This Row],[functional_strengths]]="","",career_stage)</f>
        <v>P</v>
      </c>
      <c r="D2" t="str">
        <f>IF(part4_fstrengths[[#This Row],[functional_strengths]]="","",teacher_type)</f>
        <v>R</v>
      </c>
      <c r="E2" t="str" cm="1">
        <f t="array" ref="E2">IF(COUNTA(part4_functional_strengths)&gt;=ROW(part4_fstrengths[[#This Row],[uniquepersonnelid]])-1,INDEX(part4_functional_strengths,ROW(part4_fstrengths[[#This Row],[uniquepersonnelid]])-1,1),"")</f>
        <v>1.1.2</v>
      </c>
    </row>
    <row r="3" spans="1:5" x14ac:dyDescent="0.25">
      <c r="A3" t="str" cm="1">
        <f t="array" aca="1" ref="A3" ca="1">IF(part4_fstrengths[[#This Row],[functional_strengths]]="","",demographics[uniquepersonnelid])</f>
        <v>REG4A-01-301418-4363744</v>
      </c>
      <c r="B3" t="str">
        <f>IF(part4_fstrengths[[#This Row],[functional_strengths]]="","","SY "&amp;sy_start&amp;"-"&amp;sy_end)</f>
        <v>SY 2023-2024</v>
      </c>
      <c r="C3" t="str">
        <f>IF(part4_fstrengths[[#This Row],[functional_strengths]]="","",career_stage)</f>
        <v>P</v>
      </c>
      <c r="D3" t="str">
        <f>IF(part4_fstrengths[[#This Row],[functional_strengths]]="","",teacher_type)</f>
        <v>R</v>
      </c>
      <c r="E3" t="str" cm="1">
        <f t="array" ref="E3">IF(COUNTA(part4_functional_strengths)&gt;=ROW(part4_fstrengths[[#This Row],[uniquepersonnelid]])-1,INDEX(part4_functional_strengths,ROW(part4_fstrengths[[#This Row],[uniquepersonnelid]])-1,1),"")</f>
        <v>1.4.2</v>
      </c>
    </row>
    <row r="4" spans="1:5" x14ac:dyDescent="0.25">
      <c r="A4" t="str" cm="1">
        <f t="array" aca="1" ref="A4" ca="1">IF(part4_fstrengths[[#This Row],[functional_strengths]]="","",demographics[uniquepersonnelid])</f>
        <v>REG4A-01-301418-4363744</v>
      </c>
      <c r="B4" t="str">
        <f>IF(part4_fstrengths[[#This Row],[functional_strengths]]="","","SY "&amp;sy_start&amp;"-"&amp;sy_end)</f>
        <v>SY 2023-2024</v>
      </c>
      <c r="C4" t="str">
        <f>IF(part4_fstrengths[[#This Row],[functional_strengths]]="","",career_stage)</f>
        <v>P</v>
      </c>
      <c r="D4" t="str">
        <f>IF(part4_fstrengths[[#This Row],[functional_strengths]]="","",teacher_type)</f>
        <v>R</v>
      </c>
      <c r="E4" t="str" cm="1">
        <f t="array" ref="E4">IF(COUNTA(part4_functional_strengths)&gt;=ROW(part4_fstrengths[[#This Row],[uniquepersonnelid]])-1,INDEX(part4_functional_strengths,ROW(part4_fstrengths[[#This Row],[uniquepersonnelid]])-1,1),"")</f>
        <v>1.6.2</v>
      </c>
    </row>
    <row r="5" spans="1:5" x14ac:dyDescent="0.25">
      <c r="A5" t="str" cm="1">
        <f t="array" aca="1" ref="A5" ca="1">IF(part4_fstrengths[[#This Row],[functional_strengths]]="","",demographics[uniquepersonnelid])</f>
        <v>REG4A-01-301418-4363744</v>
      </c>
      <c r="B5" t="str">
        <f>IF(part4_fstrengths[[#This Row],[functional_strengths]]="","","SY "&amp;sy_start&amp;"-"&amp;sy_end)</f>
        <v>SY 2023-2024</v>
      </c>
      <c r="C5" t="str">
        <f>IF(part4_fstrengths[[#This Row],[functional_strengths]]="","",career_stage)</f>
        <v>P</v>
      </c>
      <c r="D5" t="str">
        <f>IF(part4_fstrengths[[#This Row],[functional_strengths]]="","",teacher_type)</f>
        <v>R</v>
      </c>
      <c r="E5" t="str" cm="1">
        <f t="array" ref="E5">IF(COUNTA(part4_functional_strengths)&gt;=ROW(part4_fstrengths[[#This Row],[uniquepersonnelid]])-1,INDEX(part4_functional_strengths,ROW(part4_fstrengths[[#This Row],[uniquepersonnelid]])-1,1),"")</f>
        <v>2.1.2</v>
      </c>
    </row>
    <row r="6" spans="1:5" x14ac:dyDescent="0.25">
      <c r="A6" t="str" cm="1">
        <f t="array" aca="1" ref="A6" ca="1">IF(part4_fstrengths[[#This Row],[functional_strengths]]="","",demographics[uniquepersonnelid])</f>
        <v>REG4A-01-301418-4363744</v>
      </c>
      <c r="B6" t="str">
        <f>IF(part4_fstrengths[[#This Row],[functional_strengths]]="","","SY "&amp;sy_start&amp;"-"&amp;sy_end)</f>
        <v>SY 2023-2024</v>
      </c>
      <c r="C6" t="str">
        <f>IF(part4_fstrengths[[#This Row],[functional_strengths]]="","",career_stage)</f>
        <v>P</v>
      </c>
      <c r="D6" t="str">
        <f>IF(part4_fstrengths[[#This Row],[functional_strengths]]="","",teacher_type)</f>
        <v>R</v>
      </c>
      <c r="E6" t="str" cm="1">
        <f t="array" ref="E6">IF(COUNTA(part4_functional_strengths)&gt;=ROW(part4_fstrengths[[#This Row],[uniquepersonnelid]])-1,INDEX(part4_functional_strengths,ROW(part4_fstrengths[[#This Row],[uniquepersonnelid]])-1,1),"")</f>
        <v>2.2.2</v>
      </c>
    </row>
    <row r="7" spans="1:5" x14ac:dyDescent="0.25">
      <c r="A7" t="str" cm="1">
        <f t="array" aca="1" ref="A7" ca="1">IF(part4_fstrengths[[#This Row],[functional_strengths]]="","",demographics[uniquepersonnelid])</f>
        <v>REG4A-01-301418-4363744</v>
      </c>
      <c r="B7" t="str">
        <f>IF(part4_fstrengths[[#This Row],[functional_strengths]]="","","SY "&amp;sy_start&amp;"-"&amp;sy_end)</f>
        <v>SY 2023-2024</v>
      </c>
      <c r="C7" t="str">
        <f>IF(part4_fstrengths[[#This Row],[functional_strengths]]="","",career_stage)</f>
        <v>P</v>
      </c>
      <c r="D7" t="str">
        <f>IF(part4_fstrengths[[#This Row],[functional_strengths]]="","",teacher_type)</f>
        <v>R</v>
      </c>
      <c r="E7" t="str" cm="1">
        <f t="array" ref="E7">IF(COUNTA(part4_functional_strengths)&gt;=ROW(part4_fstrengths[[#This Row],[uniquepersonnelid]])-1,INDEX(part4_functional_strengths,ROW(part4_fstrengths[[#This Row],[uniquepersonnelid]])-1,1),"")</f>
        <v>3.2.2</v>
      </c>
    </row>
    <row r="8" spans="1:5" x14ac:dyDescent="0.25">
      <c r="A8" t="str" cm="1">
        <f t="array" aca="1" ref="A8" ca="1">IF(part4_fstrengths[[#This Row],[functional_strengths]]="","",demographics[uniquepersonnelid])</f>
        <v>REG4A-01-301418-4363744</v>
      </c>
      <c r="B8" t="str">
        <f>IF(part4_fstrengths[[#This Row],[functional_strengths]]="","","SY "&amp;sy_start&amp;"-"&amp;sy_end)</f>
        <v>SY 2023-2024</v>
      </c>
      <c r="C8" t="str">
        <f>IF(part4_fstrengths[[#This Row],[functional_strengths]]="","",career_stage)</f>
        <v>P</v>
      </c>
      <c r="D8" t="str">
        <f>IF(part4_fstrengths[[#This Row],[functional_strengths]]="","",teacher_type)</f>
        <v>R</v>
      </c>
      <c r="E8" t="str" cm="1">
        <f t="array" ref="E8">IF(COUNTA(part4_functional_strengths)&gt;=ROW(part4_fstrengths[[#This Row],[uniquepersonnelid]])-1,INDEX(part4_functional_strengths,ROW(part4_fstrengths[[#This Row],[uniquepersonnelid]])-1,1),"")</f>
        <v>3.5.2</v>
      </c>
    </row>
    <row r="9" spans="1:5" x14ac:dyDescent="0.25">
      <c r="A9" t="str" cm="1">
        <f t="array" aca="1" ref="A9" ca="1">IF(part4_fstrengths[[#This Row],[functional_strengths]]="","",demographics[uniquepersonnelid])</f>
        <v>REG4A-01-301418-4363744</v>
      </c>
      <c r="B9" t="str">
        <f>IF(part4_fstrengths[[#This Row],[functional_strengths]]="","","SY "&amp;sy_start&amp;"-"&amp;sy_end)</f>
        <v>SY 2023-2024</v>
      </c>
      <c r="C9" t="str">
        <f>IF(part4_fstrengths[[#This Row],[functional_strengths]]="","",career_stage)</f>
        <v>P</v>
      </c>
      <c r="D9" t="str">
        <f>IF(part4_fstrengths[[#This Row],[functional_strengths]]="","",teacher_type)</f>
        <v>R</v>
      </c>
      <c r="E9" t="str" cm="1">
        <f t="array" ref="E9">IF(COUNTA(part4_functional_strengths)&gt;=ROW(part4_fstrengths[[#This Row],[uniquepersonnelid]])-1,INDEX(part4_functional_strengths,ROW(part4_fstrengths[[#This Row],[uniquepersonnelid]])-1,1),"")</f>
        <v>5.3.2</v>
      </c>
    </row>
    <row r="10" spans="1:5" x14ac:dyDescent="0.25">
      <c r="A10" t="str" cm="1">
        <f t="array" ref="A10">IF(part4_fstrengths[[#This Row],[functional_strengths]]="","",demographics[uniquepersonnelid])</f>
        <v/>
      </c>
      <c r="B10" t="str">
        <f>IF(part4_fstrengths[[#This Row],[functional_strengths]]="","","SY "&amp;sy_start&amp;"-"&amp;sy_end)</f>
        <v/>
      </c>
      <c r="C10" t="str">
        <f>IF(part4_fstrengths[[#This Row],[functional_strengths]]="","",career_stage)</f>
        <v/>
      </c>
      <c r="D10" t="str">
        <f>IF(part4_fstrengths[[#This Row],[functional_strengths]]="","",teacher_type)</f>
        <v/>
      </c>
      <c r="E10" t="str" cm="1">
        <f t="array" ref="E10">IF(COUNTA(part4_functional_strengths)&gt;=ROW(part4_fstrengths[[#This Row],[uniquepersonnelid]])-1,INDEX(part4_functional_strengths,ROW(part4_fstrengths[[#This Row],[uniquepersonnelid]])-1,1),"")</f>
        <v/>
      </c>
    </row>
    <row r="11" spans="1:5" x14ac:dyDescent="0.25">
      <c r="A11" t="str" cm="1">
        <f t="array" ref="A11">IF(part4_fstrengths[[#This Row],[functional_strengths]]="","",demographics[uniquepersonnelid])</f>
        <v/>
      </c>
      <c r="B11" t="str">
        <f>IF(part4_fstrengths[[#This Row],[functional_strengths]]="","","SY "&amp;sy_start&amp;"-"&amp;sy_end)</f>
        <v/>
      </c>
      <c r="C11" t="str">
        <f>IF(part4_fstrengths[[#This Row],[functional_strengths]]="","",career_stage)</f>
        <v/>
      </c>
      <c r="D11" t="str">
        <f>IF(part4_fstrengths[[#This Row],[functional_strengths]]="","",teacher_type)</f>
        <v/>
      </c>
      <c r="E11" t="str" cm="1">
        <f t="array" ref="E11">IF(COUNTA(part4_functional_strengths)&gt;=ROW(part4_fstrengths[[#This Row],[uniquepersonnelid]])-1,INDEX(part4_functional_strengths,ROW(part4_fstrengths[[#This Row],[uniquepersonnelid]])-1,1),"")</f>
        <v/>
      </c>
    </row>
    <row r="12" spans="1:5" x14ac:dyDescent="0.25">
      <c r="A12" t="str" cm="1">
        <f t="array" ref="A12">IF(part4_fstrengths[[#This Row],[functional_strengths]]="","",demographics[uniquepersonnelid])</f>
        <v/>
      </c>
      <c r="B12" t="str">
        <f>IF(part4_fstrengths[[#This Row],[functional_strengths]]="","","SY "&amp;sy_start&amp;"-"&amp;sy_end)</f>
        <v/>
      </c>
      <c r="C12" t="str">
        <f>IF(part4_fstrengths[[#This Row],[functional_strengths]]="","",career_stage)</f>
        <v/>
      </c>
      <c r="D12" t="str">
        <f>IF(part4_fstrengths[[#This Row],[functional_strengths]]="","",teacher_type)</f>
        <v/>
      </c>
      <c r="E12" t="str" cm="1">
        <f t="array" ref="E12">IF(COUNTA(part4_functional_strengths)&gt;=ROW(part4_fstrengths[[#This Row],[uniquepersonnelid]])-1,INDEX(part4_functional_strengths,ROW(part4_fstrengths[[#This Row],[uniquepersonnelid]])-1,1),"")</f>
        <v/>
      </c>
    </row>
    <row r="13" spans="1:5" x14ac:dyDescent="0.25">
      <c r="A13" t="str" cm="1">
        <f t="array" ref="A13">IF(part4_fstrengths[[#This Row],[functional_strengths]]="","",demographics[uniquepersonnelid])</f>
        <v/>
      </c>
      <c r="B13" t="str">
        <f>IF(part4_fstrengths[[#This Row],[functional_strengths]]="","","SY "&amp;sy_start&amp;"-"&amp;sy_end)</f>
        <v/>
      </c>
      <c r="C13" t="str">
        <f>IF(part4_fstrengths[[#This Row],[functional_strengths]]="","",career_stage)</f>
        <v/>
      </c>
      <c r="D13" t="str">
        <f>IF(part4_fstrengths[[#This Row],[functional_strengths]]="","",teacher_type)</f>
        <v/>
      </c>
      <c r="E13" t="str" cm="1">
        <f t="array" ref="E13">IF(COUNTA(part4_functional_strengths)&gt;=ROW(part4_fstrengths[[#This Row],[uniquepersonnelid]])-1,INDEX(part4_functional_strengths,ROW(part4_fstrengths[[#This Row],[uniquepersonnelid]])-1,1),"")</f>
        <v/>
      </c>
    </row>
    <row r="14" spans="1:5" x14ac:dyDescent="0.25">
      <c r="A14" t="str" cm="1">
        <f t="array" ref="A14">IF(part4_fstrengths[[#This Row],[functional_strengths]]="","",demographics[uniquepersonnelid])</f>
        <v/>
      </c>
      <c r="B14" t="str">
        <f>IF(part4_fstrengths[[#This Row],[functional_strengths]]="","","SY "&amp;sy_start&amp;"-"&amp;sy_end)</f>
        <v/>
      </c>
      <c r="C14" t="str">
        <f>IF(part4_fstrengths[[#This Row],[functional_strengths]]="","",career_stage)</f>
        <v/>
      </c>
      <c r="D14" t="str">
        <f>IF(part4_fstrengths[[#This Row],[functional_strengths]]="","",teacher_type)</f>
        <v/>
      </c>
      <c r="E14" t="str" cm="1">
        <f t="array" ref="E14">IF(COUNTA(part4_functional_strengths)&gt;=ROW(part4_fstrengths[[#This Row],[uniquepersonnelid]])-1,INDEX(part4_functional_strengths,ROW(part4_fstrengths[[#This Row],[uniquepersonnelid]])-1,1),"")</f>
        <v/>
      </c>
    </row>
    <row r="15" spans="1:5" x14ac:dyDescent="0.25">
      <c r="A15" t="str" cm="1">
        <f t="array" ref="A15">IF(part4_fstrengths[[#This Row],[functional_strengths]]="","",demographics[uniquepersonnelid])</f>
        <v/>
      </c>
      <c r="B15" t="str">
        <f>IF(part4_fstrengths[[#This Row],[functional_strengths]]="","","SY "&amp;sy_start&amp;"-"&amp;sy_end)</f>
        <v/>
      </c>
      <c r="C15" t="str">
        <f>IF(part4_fstrengths[[#This Row],[functional_strengths]]="","",career_stage)</f>
        <v/>
      </c>
      <c r="D15" t="str">
        <f>IF(part4_fstrengths[[#This Row],[functional_strengths]]="","",teacher_type)</f>
        <v/>
      </c>
      <c r="E15" t="str" cm="1">
        <f t="array" ref="E15">IF(COUNTA(part4_functional_strengths)&gt;=ROW(part4_fstrengths[[#This Row],[uniquepersonnelid]])-1,INDEX(part4_functional_strengths,ROW(part4_fstrengths[[#This Row],[uniquepersonnelid]])-1,1),"")</f>
        <v/>
      </c>
    </row>
    <row r="16" spans="1:5" x14ac:dyDescent="0.25">
      <c r="A16" t="str" cm="1">
        <f t="array" ref="A16">IF(part4_fstrengths[[#This Row],[functional_strengths]]="","",demographics[uniquepersonnelid])</f>
        <v/>
      </c>
      <c r="B16" t="str">
        <f>IF(part4_fstrengths[[#This Row],[functional_strengths]]="","","SY "&amp;sy_start&amp;"-"&amp;sy_end)</f>
        <v/>
      </c>
      <c r="C16" t="str">
        <f>IF(part4_fstrengths[[#This Row],[functional_strengths]]="","",career_stage)</f>
        <v/>
      </c>
      <c r="D16" t="str">
        <f>IF(part4_fstrengths[[#This Row],[functional_strengths]]="","",teacher_type)</f>
        <v/>
      </c>
      <c r="E16" t="str" cm="1">
        <f t="array" ref="E16">IF(COUNTA(part4_functional_strengths)&gt;=ROW(part4_fstrengths[[#This Row],[uniquepersonnelid]])-1,INDEX(part4_functional_strengths,ROW(part4_fstrengths[[#This Row],[uniquepersonnelid]])-1,1),"")</f>
        <v/>
      </c>
    </row>
    <row r="17" spans="1:5" x14ac:dyDescent="0.25">
      <c r="A17" t="str" cm="1">
        <f t="array" ref="A17">IF(part4_fstrengths[[#This Row],[functional_strengths]]="","",demographics[uniquepersonnelid])</f>
        <v/>
      </c>
      <c r="B17" t="str">
        <f>IF(part4_fstrengths[[#This Row],[functional_strengths]]="","","SY "&amp;sy_start&amp;"-"&amp;sy_end)</f>
        <v/>
      </c>
      <c r="C17" t="str">
        <f>IF(part4_fstrengths[[#This Row],[functional_strengths]]="","",career_stage)</f>
        <v/>
      </c>
      <c r="D17" t="str">
        <f>IF(part4_fstrengths[[#This Row],[functional_strengths]]="","",teacher_type)</f>
        <v/>
      </c>
      <c r="E17" t="str" cm="1">
        <f t="array" ref="E17">IF(COUNTA(part4_functional_strengths)&gt;=ROW(part4_fstrengths[[#This Row],[uniquepersonnelid]])-1,INDEX(part4_functional_strengths,ROW(part4_fstrengths[[#This Row],[uniquepersonnelid]])-1,1),"")</f>
        <v/>
      </c>
    </row>
    <row r="18" spans="1:5" x14ac:dyDescent="0.25">
      <c r="A18" t="str" cm="1">
        <f t="array" ref="A18">IF(part4_fstrengths[[#This Row],[functional_strengths]]="","",demographics[uniquepersonnelid])</f>
        <v/>
      </c>
      <c r="B18" t="str">
        <f>IF(part4_fstrengths[[#This Row],[functional_strengths]]="","","SY "&amp;sy_start&amp;"-"&amp;sy_end)</f>
        <v/>
      </c>
      <c r="C18" t="str">
        <f>IF(part4_fstrengths[[#This Row],[functional_strengths]]="","",career_stage)</f>
        <v/>
      </c>
      <c r="D18" t="str">
        <f>IF(part4_fstrengths[[#This Row],[functional_strengths]]="","",teacher_type)</f>
        <v/>
      </c>
      <c r="E18" t="str" cm="1">
        <f t="array" ref="E18">IF(COUNTA(part4_functional_strengths)&gt;=ROW(part4_fstrengths[[#This Row],[uniquepersonnelid]])-1,INDEX(part4_functional_strengths,ROW(part4_fstrengths[[#This Row],[uniquepersonnelid]])-1,1),"")</f>
        <v/>
      </c>
    </row>
    <row r="19" spans="1:5" x14ac:dyDescent="0.25">
      <c r="A19" t="str" cm="1">
        <f t="array" ref="A19">IF(part4_fstrengths[[#This Row],[functional_strengths]]="","",demographics[uniquepersonnelid])</f>
        <v/>
      </c>
      <c r="B19" t="str">
        <f>IF(part4_fstrengths[[#This Row],[functional_strengths]]="","","SY "&amp;sy_start&amp;"-"&amp;sy_end)</f>
        <v/>
      </c>
      <c r="C19" t="str">
        <f>IF(part4_fstrengths[[#This Row],[functional_strengths]]="","",career_stage)</f>
        <v/>
      </c>
      <c r="D19" t="str">
        <f>IF(part4_fstrengths[[#This Row],[functional_strengths]]="","",teacher_type)</f>
        <v/>
      </c>
      <c r="E19" t="str" cm="1">
        <f t="array" ref="E19">IF(COUNTA(part4_functional_strengths)&gt;=ROW(part4_fstrengths[[#This Row],[uniquepersonnelid]])-1,INDEX(part4_functional_strengths,ROW(part4_fstrengths[[#This Row],[uniquepersonnelid]])-1,1),"")</f>
        <v/>
      </c>
    </row>
    <row r="20" spans="1:5" x14ac:dyDescent="0.25">
      <c r="A20" t="str" cm="1">
        <f t="array" ref="A20">IF(part4_fstrengths[[#This Row],[functional_strengths]]="","",demographics[uniquepersonnelid])</f>
        <v/>
      </c>
      <c r="B20" t="str">
        <f>IF(part4_fstrengths[[#This Row],[functional_strengths]]="","","SY "&amp;sy_start&amp;"-"&amp;sy_end)</f>
        <v/>
      </c>
      <c r="C20" t="str">
        <f>IF(part4_fstrengths[[#This Row],[functional_strengths]]="","",career_stage)</f>
        <v/>
      </c>
      <c r="D20" t="str">
        <f>IF(part4_fstrengths[[#This Row],[functional_strengths]]="","",teacher_type)</f>
        <v/>
      </c>
      <c r="E20" t="str" cm="1">
        <f t="array" ref="E20">IF(COUNTA(part4_functional_strengths)&gt;=ROW(part4_fstrengths[[#This Row],[uniquepersonnelid]])-1,INDEX(part4_functional_strengths,ROW(part4_fstrengths[[#This Row],[uniquepersonnelid]])-1,1),"")</f>
        <v/>
      </c>
    </row>
    <row r="21" spans="1:5" x14ac:dyDescent="0.25">
      <c r="A21" t="str" cm="1">
        <f t="array" ref="A21">IF(part4_fstrengths[[#This Row],[functional_strengths]]="","",demographics[uniquepersonnelid])</f>
        <v/>
      </c>
      <c r="B21" t="str">
        <f>IF(part4_fstrengths[[#This Row],[functional_strengths]]="","","SY "&amp;sy_start&amp;"-"&amp;sy_end)</f>
        <v/>
      </c>
      <c r="C21" t="str">
        <f>IF(part4_fstrengths[[#This Row],[functional_strengths]]="","",career_stage)</f>
        <v/>
      </c>
      <c r="D21" t="str">
        <f>IF(part4_fstrengths[[#This Row],[functional_strengths]]="","",teacher_type)</f>
        <v/>
      </c>
      <c r="E21" t="str" cm="1">
        <f t="array" ref="E21">IF(COUNTA(part4_functional_strengths)&gt;=ROW(part4_fstrengths[[#This Row],[uniquepersonnelid]])-1,INDEX(part4_functional_strengths,ROW(part4_fstrengths[[#This Row],[uniquepersonnelid]])-1,1),"")</f>
        <v/>
      </c>
    </row>
    <row r="22" spans="1:5" x14ac:dyDescent="0.25">
      <c r="A22" t="str" cm="1">
        <f t="array" ref="A22">IF(part4_fstrengths[[#This Row],[functional_strengths]]="","",demographics[uniquepersonnelid])</f>
        <v/>
      </c>
      <c r="B22" t="str">
        <f>IF(part4_fstrengths[[#This Row],[functional_strengths]]="","","SY "&amp;sy_start&amp;"-"&amp;sy_end)</f>
        <v/>
      </c>
      <c r="C22" t="str">
        <f>IF(part4_fstrengths[[#This Row],[functional_strengths]]="","",career_stage)</f>
        <v/>
      </c>
      <c r="D22" t="str">
        <f>IF(part4_fstrengths[[#This Row],[functional_strengths]]="","",teacher_type)</f>
        <v/>
      </c>
      <c r="E22" t="str" cm="1">
        <f t="array" ref="E22">IF(COUNTA(part4_functional_strengths)&gt;=ROW(part4_fstrengths[[#This Row],[uniquepersonnelid]])-1,INDEX(part4_functional_strengths,ROW(part4_fstrengths[[#This Row],[uniquepersonnelid]])-1,1),"")</f>
        <v/>
      </c>
    </row>
    <row r="23" spans="1:5" x14ac:dyDescent="0.25">
      <c r="A23" t="str" cm="1">
        <f t="array" ref="A23">IF(part4_fstrengths[[#This Row],[functional_strengths]]="","",demographics[uniquepersonnelid])</f>
        <v/>
      </c>
      <c r="B23" t="str">
        <f>IF(part4_fstrengths[[#This Row],[functional_strengths]]="","","SY "&amp;sy_start&amp;"-"&amp;sy_end)</f>
        <v/>
      </c>
      <c r="C23" t="str">
        <f>IF(part4_fstrengths[[#This Row],[functional_strengths]]="","",career_stage)</f>
        <v/>
      </c>
      <c r="D23" t="str">
        <f>IF(part4_fstrengths[[#This Row],[functional_strengths]]="","",teacher_type)</f>
        <v/>
      </c>
      <c r="E23" t="str" cm="1">
        <f t="array" ref="E23">IF(COUNTA(part4_functional_strengths)&gt;=ROW(part4_fstrengths[[#This Row],[uniquepersonnelid]])-1,INDEX(part4_functional_strengths,ROW(part4_fstrengths[[#This Row],[uniquepersonnelid]])-1,1),"")</f>
        <v/>
      </c>
    </row>
    <row r="24" spans="1:5" x14ac:dyDescent="0.25">
      <c r="A24" t="str" cm="1">
        <f t="array" ref="A24">IF(part4_fstrengths[[#This Row],[functional_strengths]]="","",demographics[uniquepersonnelid])</f>
        <v/>
      </c>
      <c r="B24" t="str">
        <f>IF(part4_fstrengths[[#This Row],[functional_strengths]]="","","SY "&amp;sy_start&amp;"-"&amp;sy_end)</f>
        <v/>
      </c>
      <c r="C24" t="str">
        <f>IF(part4_fstrengths[[#This Row],[functional_strengths]]="","",career_stage)</f>
        <v/>
      </c>
      <c r="D24" t="str">
        <f>IF(part4_fstrengths[[#This Row],[functional_strengths]]="","",teacher_type)</f>
        <v/>
      </c>
      <c r="E24" t="str" cm="1">
        <f t="array" ref="E24">IF(COUNTA(part4_functional_strengths)&gt;=ROW(part4_fstrengths[[#This Row],[uniquepersonnelid]])-1,INDEX(part4_functional_strengths,ROW(part4_fstrengths[[#This Row],[uniquepersonnelid]])-1,1),"")</f>
        <v/>
      </c>
    </row>
    <row r="25" spans="1:5" x14ac:dyDescent="0.25">
      <c r="A25" t="str" cm="1">
        <f t="array" ref="A25">IF(part4_fstrengths[[#This Row],[functional_strengths]]="","",demographics[uniquepersonnelid])</f>
        <v/>
      </c>
      <c r="B25" t="str">
        <f>IF(part4_fstrengths[[#This Row],[functional_strengths]]="","","SY "&amp;sy_start&amp;"-"&amp;sy_end)</f>
        <v/>
      </c>
      <c r="C25" t="str">
        <f>IF(part4_fstrengths[[#This Row],[functional_strengths]]="","",career_stage)</f>
        <v/>
      </c>
      <c r="D25" t="str">
        <f>IF(part4_fstrengths[[#This Row],[functional_strengths]]="","",teacher_type)</f>
        <v/>
      </c>
      <c r="E25" t="str" cm="1">
        <f t="array" ref="E25">IF(COUNTA(part4_functional_strengths)&gt;=ROW(part4_fstrengths[[#This Row],[uniquepersonnelid]])-1,INDEX(part4_functional_strengths,ROW(part4_fstrengths[[#This Row],[uniquepersonnelid]])-1,1),"")</f>
        <v/>
      </c>
    </row>
    <row r="26" spans="1:5" x14ac:dyDescent="0.25">
      <c r="A26" t="str" cm="1">
        <f t="array" ref="A26">IF(part4_fstrengths[[#This Row],[functional_strengths]]="","",demographics[uniquepersonnelid])</f>
        <v/>
      </c>
      <c r="B26" t="str">
        <f>IF(part4_fstrengths[[#This Row],[functional_strengths]]="","","SY "&amp;sy_start&amp;"-"&amp;sy_end)</f>
        <v/>
      </c>
      <c r="C26" t="str">
        <f>IF(part4_fstrengths[[#This Row],[functional_strengths]]="","",career_stage)</f>
        <v/>
      </c>
      <c r="D26" t="str">
        <f>IF(part4_fstrengths[[#This Row],[functional_strengths]]="","",teacher_type)</f>
        <v/>
      </c>
      <c r="E26" t="str" cm="1">
        <f t="array" ref="E26">IF(COUNTA(part4_functional_strengths)&gt;=ROW(part4_fstrengths[[#This Row],[uniquepersonnelid]])-1,INDEX(part4_functional_strengths,ROW(part4_fstrengths[[#This Row],[uniquepersonnelid]])-1,1),"")</f>
        <v/>
      </c>
    </row>
    <row r="27" spans="1:5" x14ac:dyDescent="0.25">
      <c r="A27" t="str" cm="1">
        <f t="array" ref="A27">IF(part4_fstrengths[[#This Row],[functional_strengths]]="","",demographics[uniquepersonnelid])</f>
        <v/>
      </c>
      <c r="B27" t="str">
        <f>IF(part4_fstrengths[[#This Row],[functional_strengths]]="","","SY "&amp;sy_start&amp;"-"&amp;sy_end)</f>
        <v/>
      </c>
      <c r="C27" t="str">
        <f>IF(part4_fstrengths[[#This Row],[functional_strengths]]="","",career_stage)</f>
        <v/>
      </c>
      <c r="D27" t="str">
        <f>IF(part4_fstrengths[[#This Row],[functional_strengths]]="","",teacher_type)</f>
        <v/>
      </c>
      <c r="E27" t="str" cm="1">
        <f t="array" ref="E27">IF(COUNTA(part4_functional_strengths)&gt;=ROW(part4_fstrengths[[#This Row],[uniquepersonnelid]])-1,INDEX(part4_functional_strengths,ROW(part4_fstrengths[[#This Row],[uniquepersonnelid]])-1,1),"")</f>
        <v/>
      </c>
    </row>
    <row r="28" spans="1:5" x14ac:dyDescent="0.25">
      <c r="A28" t="str" cm="1">
        <f t="array" ref="A28">IF(part4_fstrengths[[#This Row],[functional_strengths]]="","",demographics[uniquepersonnelid])</f>
        <v/>
      </c>
      <c r="B28" t="str">
        <f>IF(part4_fstrengths[[#This Row],[functional_strengths]]="","","SY "&amp;sy_start&amp;"-"&amp;sy_end)</f>
        <v/>
      </c>
      <c r="C28" t="str">
        <f>IF(part4_fstrengths[[#This Row],[functional_strengths]]="","",career_stage)</f>
        <v/>
      </c>
      <c r="D28" t="str">
        <f>IF(part4_fstrengths[[#This Row],[functional_strengths]]="","",teacher_type)</f>
        <v/>
      </c>
      <c r="E28" t="str" cm="1">
        <f t="array" ref="E28">IF(COUNTA(part4_functional_strengths)&gt;=ROW(part4_fstrengths[[#This Row],[uniquepersonnelid]])-1,INDEX(part4_functional_strengths,ROW(part4_fstrengths[[#This Row],[uniquepersonnelid]])-1,1),"")</f>
        <v/>
      </c>
    </row>
    <row r="29" spans="1:5" x14ac:dyDescent="0.25">
      <c r="A29" t="str" cm="1">
        <f t="array" ref="A29">IF(part4_fstrengths[[#This Row],[functional_strengths]]="","",demographics[uniquepersonnelid])</f>
        <v/>
      </c>
      <c r="B29" t="str">
        <f>IF(part4_fstrengths[[#This Row],[functional_strengths]]="","","SY "&amp;sy_start&amp;"-"&amp;sy_end)</f>
        <v/>
      </c>
      <c r="C29" t="str">
        <f>IF(part4_fstrengths[[#This Row],[functional_strengths]]="","",career_stage)</f>
        <v/>
      </c>
      <c r="D29" t="str">
        <f>IF(part4_fstrengths[[#This Row],[functional_strengths]]="","",teacher_type)</f>
        <v/>
      </c>
      <c r="E29" t="str" cm="1">
        <f t="array" ref="E29">IF(COUNTA(part4_functional_strengths)&gt;=ROW(part4_fstrengths[[#This Row],[uniquepersonnelid]])-1,INDEX(part4_functional_strengths,ROW(part4_fstrengths[[#This Row],[uniquepersonnelid]])-1,1),"")</f>
        <v/>
      </c>
    </row>
    <row r="30" spans="1:5" x14ac:dyDescent="0.25">
      <c r="A30" t="str" cm="1">
        <f t="array" ref="A30">IF(part4_fstrengths[[#This Row],[functional_strengths]]="","",demographics[uniquepersonnelid])</f>
        <v/>
      </c>
      <c r="B30" t="str">
        <f>IF(part4_fstrengths[[#This Row],[functional_strengths]]="","","SY "&amp;sy_start&amp;"-"&amp;sy_end)</f>
        <v/>
      </c>
      <c r="C30" t="str">
        <f>IF(part4_fstrengths[[#This Row],[functional_strengths]]="","",career_stage)</f>
        <v/>
      </c>
      <c r="D30" t="str">
        <f>IF(part4_fstrengths[[#This Row],[functional_strengths]]="","",teacher_type)</f>
        <v/>
      </c>
      <c r="E30" t="str" cm="1">
        <f t="array" ref="E30">IF(COUNTA(part4_functional_strengths)&gt;=ROW(part4_fstrengths[[#This Row],[uniquepersonnelid]])-1,INDEX(part4_functional_strengths,ROW(part4_fstrengths[[#This Row],[uniquepersonnelid]])-1,1),"")</f>
        <v/>
      </c>
    </row>
    <row r="31" spans="1:5" x14ac:dyDescent="0.25">
      <c r="A31" t="str" cm="1">
        <f t="array" ref="A31">IF(part4_fstrengths[[#This Row],[functional_strengths]]="","",demographics[uniquepersonnelid])</f>
        <v/>
      </c>
      <c r="B31" t="str">
        <f>IF(part4_fstrengths[[#This Row],[functional_strengths]]="","","SY "&amp;sy_start&amp;"-"&amp;sy_end)</f>
        <v/>
      </c>
      <c r="C31" t="str">
        <f>IF(part4_fstrengths[[#This Row],[functional_strengths]]="","",career_stage)</f>
        <v/>
      </c>
      <c r="D31" t="str">
        <f>IF(part4_fstrengths[[#This Row],[functional_strengths]]="","",teacher_type)</f>
        <v/>
      </c>
      <c r="E31" t="str" cm="1">
        <f t="array" ref="E31">IF(COUNTA(part4_functional_strengths)&gt;=ROW(part4_fstrengths[[#This Row],[uniquepersonnelid]])-1,INDEX(part4_functional_strengths,ROW(part4_fstrengths[[#This Row],[uniquepersonnelid]])-1,1),"")</f>
        <v/>
      </c>
    </row>
    <row r="32" spans="1:5" x14ac:dyDescent="0.25">
      <c r="A32" t="str" cm="1">
        <f t="array" ref="A32">IF(part4_fstrengths[[#This Row],[functional_strengths]]="","",demographics[uniquepersonnelid])</f>
        <v/>
      </c>
      <c r="B32" t="str">
        <f>IF(part4_fstrengths[[#This Row],[functional_strengths]]="","","SY "&amp;sy_start&amp;"-"&amp;sy_end)</f>
        <v/>
      </c>
      <c r="C32" t="str">
        <f>IF(part4_fstrengths[[#This Row],[functional_strengths]]="","",career_stage)</f>
        <v/>
      </c>
      <c r="D32" t="str">
        <f>IF(part4_fstrengths[[#This Row],[functional_strengths]]="","",teacher_type)</f>
        <v/>
      </c>
      <c r="E32" t="str" cm="1">
        <f t="array" ref="E32">IF(COUNTA(part4_functional_strengths)&gt;=ROW(part4_fstrengths[[#This Row],[uniquepersonnelid]])-1,INDEX(part4_functional_strengths,ROW(part4_fstrengths[[#This Row],[uniquepersonnelid]])-1,1),"")</f>
        <v/>
      </c>
    </row>
    <row r="33" spans="1:5" x14ac:dyDescent="0.25">
      <c r="A33" t="str" cm="1">
        <f t="array" ref="A33">IF(part4_fstrengths[[#This Row],[functional_strengths]]="","",demographics[uniquepersonnelid])</f>
        <v/>
      </c>
      <c r="B33" t="str">
        <f>IF(part4_fstrengths[[#This Row],[functional_strengths]]="","","SY "&amp;sy_start&amp;"-"&amp;sy_end)</f>
        <v/>
      </c>
      <c r="C33" t="str">
        <f>IF(part4_fstrengths[[#This Row],[functional_strengths]]="","",career_stage)</f>
        <v/>
      </c>
      <c r="D33" t="str">
        <f>IF(part4_fstrengths[[#This Row],[functional_strengths]]="","",teacher_type)</f>
        <v/>
      </c>
      <c r="E33" t="str" cm="1">
        <f t="array" ref="E33">IF(COUNTA(part4_functional_strengths)&gt;=ROW(part4_fstrengths[[#This Row],[uniquepersonnelid]])-1,INDEX(part4_functional_strengths,ROW(part4_fstrengths[[#This Row],[uniquepersonnelid]])-1,1),"")</f>
        <v/>
      </c>
    </row>
    <row r="34" spans="1:5" x14ac:dyDescent="0.25">
      <c r="A34" t="str" cm="1">
        <f t="array" ref="A34">IF(part4_fstrengths[[#This Row],[functional_strengths]]="","",demographics[uniquepersonnelid])</f>
        <v/>
      </c>
      <c r="B34" t="str">
        <f>IF(part4_fstrengths[[#This Row],[functional_strengths]]="","","SY "&amp;sy_start&amp;"-"&amp;sy_end)</f>
        <v/>
      </c>
      <c r="C34" t="str">
        <f>IF(part4_fstrengths[[#This Row],[functional_strengths]]="","",career_stage)</f>
        <v/>
      </c>
      <c r="D34" t="str">
        <f>IF(part4_fstrengths[[#This Row],[functional_strengths]]="","",teacher_type)</f>
        <v/>
      </c>
      <c r="E34" t="str" cm="1">
        <f t="array" ref="E34">IF(COUNTA(part4_functional_strengths)&gt;=ROW(part4_fstrengths[[#This Row],[uniquepersonnelid]])-1,INDEX(part4_functional_strengths,ROW(part4_fstrengths[[#This Row],[uniquepersonnelid]])-1,1),"")</f>
        <v/>
      </c>
    </row>
    <row r="35" spans="1:5" x14ac:dyDescent="0.25">
      <c r="A35" t="str" cm="1">
        <f t="array" ref="A35">IF(part4_fstrengths[[#This Row],[functional_strengths]]="","",demographics[uniquepersonnelid])</f>
        <v/>
      </c>
      <c r="B35" t="str">
        <f>IF(part4_fstrengths[[#This Row],[functional_strengths]]="","","SY "&amp;sy_start&amp;"-"&amp;sy_end)</f>
        <v/>
      </c>
      <c r="C35" t="str">
        <f>IF(part4_fstrengths[[#This Row],[functional_strengths]]="","",career_stage)</f>
        <v/>
      </c>
      <c r="D35" t="str">
        <f>IF(part4_fstrengths[[#This Row],[functional_strengths]]="","",teacher_type)</f>
        <v/>
      </c>
      <c r="E35" t="str" cm="1">
        <f t="array" ref="E35">IF(COUNTA(part4_functional_strengths)&gt;=ROW(part4_fstrengths[[#This Row],[uniquepersonnelid]])-1,INDEX(part4_functional_strengths,ROW(part4_fstrengths[[#This Row],[uniquepersonnelid]])-1,1),"")</f>
        <v/>
      </c>
    </row>
    <row r="36" spans="1:5" x14ac:dyDescent="0.25">
      <c r="A36" t="str" cm="1">
        <f t="array" ref="A36">IF(part4_fstrengths[[#This Row],[functional_strengths]]="","",demographics[uniquepersonnelid])</f>
        <v/>
      </c>
      <c r="B36" t="str">
        <f>IF(part4_fstrengths[[#This Row],[functional_strengths]]="","","SY "&amp;sy_start&amp;"-"&amp;sy_end)</f>
        <v/>
      </c>
      <c r="C36" t="str">
        <f>IF(part4_fstrengths[[#This Row],[functional_strengths]]="","",career_stage)</f>
        <v/>
      </c>
      <c r="D36" t="str">
        <f>IF(part4_fstrengths[[#This Row],[functional_strengths]]="","",teacher_type)</f>
        <v/>
      </c>
      <c r="E36" t="str" cm="1">
        <f t="array" ref="E36">IF(COUNTA(part4_functional_strengths)&gt;=ROW(part4_fstrengths[[#This Row],[uniquepersonnelid]])-1,INDEX(part4_functional_strengths,ROW(part4_fstrengths[[#This Row],[uniquepersonnelid]])-1,1),"")</f>
        <v/>
      </c>
    </row>
    <row r="37" spans="1:5" x14ac:dyDescent="0.25">
      <c r="A37" t="str" cm="1">
        <f t="array" ref="A37">IF(part4_fstrengths[[#This Row],[functional_strengths]]="","",demographics[uniquepersonnelid])</f>
        <v/>
      </c>
      <c r="B37" t="str">
        <f>IF(part4_fstrengths[[#This Row],[functional_strengths]]="","","SY "&amp;sy_start&amp;"-"&amp;sy_end)</f>
        <v/>
      </c>
      <c r="C37" t="str">
        <f>IF(part4_fstrengths[[#This Row],[functional_strengths]]="","",career_stage)</f>
        <v/>
      </c>
      <c r="D37" t="str">
        <f>IF(part4_fstrengths[[#This Row],[functional_strengths]]="","",teacher_type)</f>
        <v/>
      </c>
      <c r="E37" t="str" cm="1">
        <f t="array" ref="E37">IF(COUNTA(part4_functional_strengths)&gt;=ROW(part4_fstrengths[[#This Row],[uniquepersonnelid]])-1,INDEX(part4_functional_strengths,ROW(part4_fstrengths[[#This Row],[uniquepersonnelid]])-1,1),"")</f>
        <v/>
      </c>
    </row>
    <row r="38" spans="1:5" x14ac:dyDescent="0.25">
      <c r="A38" t="str" cm="1">
        <f t="array" ref="A38">IF(part4_fstrengths[[#This Row],[functional_strengths]]="","",demographics[uniquepersonnelid])</f>
        <v/>
      </c>
      <c r="B38" t="str">
        <f>IF(part4_fstrengths[[#This Row],[functional_strengths]]="","","SY "&amp;sy_start&amp;"-"&amp;sy_end)</f>
        <v/>
      </c>
      <c r="C38" t="str">
        <f>IF(part4_fstrengths[[#This Row],[functional_strengths]]="","",career_stage)</f>
        <v/>
      </c>
      <c r="D38" t="str">
        <f>IF(part4_fstrengths[[#This Row],[functional_strengths]]="","",teacher_type)</f>
        <v/>
      </c>
      <c r="E38" t="str" cm="1">
        <f t="array" ref="E38">IF(COUNTA(part4_functional_strengths)&gt;=ROW(part4_fstrengths[[#This Row],[uniquepersonnelid]])-1,INDEX(part4_functional_strengths,ROW(part4_fstrengths[[#This Row],[uniquepersonnelid]])-1,1),"")</f>
        <v/>
      </c>
    </row>
    <row r="39" spans="1:5" x14ac:dyDescent="0.25">
      <c r="A39" t="str" cm="1">
        <f t="array" ref="A39">IF(part4_fstrengths[[#This Row],[functional_strengths]]="","",demographics[uniquepersonnelid])</f>
        <v/>
      </c>
      <c r="B39" t="str">
        <f>IF(part4_fstrengths[[#This Row],[functional_strengths]]="","","SY "&amp;sy_start&amp;"-"&amp;sy_end)</f>
        <v/>
      </c>
      <c r="C39" t="str">
        <f>IF(part4_fstrengths[[#This Row],[functional_strengths]]="","",career_stage)</f>
        <v/>
      </c>
      <c r="D39" t="str">
        <f>IF(part4_fstrengths[[#This Row],[functional_strengths]]="","",teacher_type)</f>
        <v/>
      </c>
      <c r="E39" t="str" cm="1">
        <f t="array" ref="E39">IF(COUNTA(part4_functional_strengths)&gt;=ROW(part4_fstrengths[[#This Row],[uniquepersonnelid]])-1,INDEX(part4_functional_strengths,ROW(part4_fstrengths[[#This Row],[uniquepersonnelid]])-1,1),"")</f>
        <v/>
      </c>
    </row>
  </sheetData>
  <sheetProtection algorithmName="SHA-512" hashValue="niztxskjOcF23DzdgvLmlTFcBzd/1i+6xsUXAaJqEwmysejBqaBuY/2pF2l99ml6eUqVlL06GyST71JjbuhwGQ==" saltValue="wCwNbMIRaDtKqHthjqE73Q==" spinCount="100000" sheet="1" objects="1" scenarios="1" selectLockedCells="1" selectUnlockedCells="1"/>
  <pageMargins left="0.7" right="0.7" top="0.75" bottom="0.75" header="0.3" footer="0.3"/>
  <pageSetup orientation="portrait" horizontalDpi="0"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43276-B97A-9548-8C19-04D97F553F98}">
  <sheetPr codeName="tbl_part4_behavioral_strengths"/>
  <dimension ref="A1:E7"/>
  <sheetViews>
    <sheetView zoomScale="175" zoomScaleNormal="337" workbookViewId="0">
      <selection activeCell="D22" sqref="D22"/>
    </sheetView>
  </sheetViews>
  <sheetFormatPr defaultColWidth="8.85546875" defaultRowHeight="15" x14ac:dyDescent="0.25"/>
  <cols>
    <col min="1" max="1" width="23.85546875" customWidth="1"/>
    <col min="2" max="2" width="14.140625" bestFit="1" customWidth="1"/>
    <col min="3" max="3" width="12" customWidth="1"/>
    <col min="4" max="4" width="13" customWidth="1"/>
    <col min="5" max="5" width="10.28515625" customWidth="1"/>
  </cols>
  <sheetData>
    <row r="1" spans="1:5" x14ac:dyDescent="0.25">
      <c r="A1" t="s">
        <v>23</v>
      </c>
      <c r="B1" t="s">
        <v>5</v>
      </c>
      <c r="C1" t="s">
        <v>7</v>
      </c>
      <c r="D1" t="s">
        <v>6</v>
      </c>
      <c r="E1" t="s">
        <v>103</v>
      </c>
    </row>
    <row r="2" spans="1:5" x14ac:dyDescent="0.25">
      <c r="A2" t="str" cm="1">
        <f t="array" aca="1" ref="A2" ca="1">IF(part4_bstrengths[[#This Row],[behavioral_strengths]]="","",demographics[uniquepersonnelid])</f>
        <v>REG4A-01-301418-4363744</v>
      </c>
      <c r="B2" t="str">
        <f>IF(part4_bstrengths[[#This Row],[behavioral_strengths]]="","","SY "&amp;sy_start&amp;"-"&amp;sy_end)</f>
        <v>SY 2023-2024</v>
      </c>
      <c r="C2" t="str">
        <f>IF(part4_bstrengths[[#This Row],[behavioral_strengths]]="","",career_stage)</f>
        <v>P</v>
      </c>
      <c r="D2" t="str">
        <f>IF(part4_bstrengths[[#This Row],[behavioral_strengths]]="","",teacher_type)</f>
        <v>R</v>
      </c>
      <c r="E2" t="str" cm="1">
        <f t="array" ref="E2">IF(COUNTA(part4_behavioral_strengths)&gt;=ROW(part4_bstrengths[[#This Row],[uniquepersonnelid]])-1,INDEX(part4_behavioral_strengths,ROW(part4_bstrengths[[#This Row],[uniquepersonnelid]])-1,1),"")</f>
        <v>Self-Management</v>
      </c>
    </row>
    <row r="3" spans="1:5" x14ac:dyDescent="0.25">
      <c r="A3" t="str" cm="1">
        <f t="array" aca="1" ref="A3" ca="1">IF(part4_bstrengths[[#This Row],[behavioral_strengths]]="","",demographics[uniquepersonnelid])</f>
        <v>REG4A-01-301418-4363744</v>
      </c>
      <c r="B3" t="str">
        <f>IF(part4_bstrengths[[#This Row],[behavioral_strengths]]="","","SY "&amp;sy_start&amp;"-"&amp;sy_end)</f>
        <v>SY 2023-2024</v>
      </c>
      <c r="C3" t="str">
        <f>IF(part4_bstrengths[[#This Row],[behavioral_strengths]]="","",career_stage)</f>
        <v>P</v>
      </c>
      <c r="D3" t="str">
        <f>IF(part4_bstrengths[[#This Row],[behavioral_strengths]]="","",teacher_type)</f>
        <v>R</v>
      </c>
      <c r="E3" t="str" cm="1">
        <f t="array" ref="E3">IF(COUNTA(part4_behavioral_strengths)&gt;=ROW(part4_bstrengths[[#This Row],[uniquepersonnelid]])-1,INDEX(part4_behavioral_strengths,ROW(part4_bstrengths[[#This Row],[uniquepersonnelid]])-1,1),"")</f>
        <v>Service Orientation</v>
      </c>
    </row>
    <row r="4" spans="1:5" x14ac:dyDescent="0.25">
      <c r="A4" t="str" cm="1">
        <f t="array" aca="1" ref="A4" ca="1">IF(part4_bstrengths[[#This Row],[behavioral_strengths]]="","",demographics[uniquepersonnelid])</f>
        <v>REG4A-01-301418-4363744</v>
      </c>
      <c r="B4" t="str">
        <f>IF(part4_bstrengths[[#This Row],[behavioral_strengths]]="","","SY "&amp;sy_start&amp;"-"&amp;sy_end)</f>
        <v>SY 2023-2024</v>
      </c>
      <c r="C4" t="str">
        <f>IF(part4_bstrengths[[#This Row],[behavioral_strengths]]="","",career_stage)</f>
        <v>P</v>
      </c>
      <c r="D4" t="str">
        <f>IF(part4_bstrengths[[#This Row],[behavioral_strengths]]="","",teacher_type)</f>
        <v>R</v>
      </c>
      <c r="E4" t="str" cm="1">
        <f t="array" ref="E4">IF(COUNTA(part4_behavioral_strengths)&gt;=ROW(part4_bstrengths[[#This Row],[uniquepersonnelid]])-1,INDEX(part4_behavioral_strengths,ROW(part4_bstrengths[[#This Row],[uniquepersonnelid]])-1,1),"")</f>
        <v>Innovation</v>
      </c>
    </row>
    <row r="5" spans="1:5" x14ac:dyDescent="0.25">
      <c r="A5" t="str" cm="1">
        <f t="array" ref="A5">IF(part4_bstrengths[[#This Row],[behavioral_strengths]]="","",demographics[uniquepersonnelid])</f>
        <v/>
      </c>
      <c r="B5" t="str">
        <f>IF(part4_bstrengths[[#This Row],[behavioral_strengths]]="","","SY "&amp;sy_start&amp;"-"&amp;sy_end)</f>
        <v/>
      </c>
      <c r="C5" t="str">
        <f>IF(part4_bstrengths[[#This Row],[behavioral_strengths]]="","",career_stage)</f>
        <v/>
      </c>
      <c r="D5" t="str">
        <f>IF(part4_bstrengths[[#This Row],[behavioral_strengths]]="","",teacher_type)</f>
        <v/>
      </c>
      <c r="E5" t="str" cm="1">
        <f t="array" ref="E5">IF(COUNTA(part4_behavioral_strengths)&gt;=ROW(part4_bstrengths[[#This Row],[uniquepersonnelid]])-1,INDEX(part4_behavioral_strengths,ROW(part4_bstrengths[[#This Row],[uniquepersonnelid]])-1,1),"")</f>
        <v/>
      </c>
    </row>
    <row r="6" spans="1:5" x14ac:dyDescent="0.25">
      <c r="A6" t="str" cm="1">
        <f t="array" ref="A6">IF(part4_bstrengths[[#This Row],[behavioral_strengths]]="","",demographics[uniquepersonnelid])</f>
        <v/>
      </c>
      <c r="B6" t="str">
        <f>IF(part4_bstrengths[[#This Row],[behavioral_strengths]]="","","SY "&amp;sy_start&amp;"-"&amp;sy_end)</f>
        <v/>
      </c>
      <c r="C6" t="str">
        <f>IF(part4_bstrengths[[#This Row],[behavioral_strengths]]="","",career_stage)</f>
        <v/>
      </c>
      <c r="D6" t="str">
        <f>IF(part4_bstrengths[[#This Row],[behavioral_strengths]]="","",teacher_type)</f>
        <v/>
      </c>
      <c r="E6" t="str" cm="1">
        <f t="array" ref="E6">IF(COUNTA(part4_behavioral_strengths)&gt;=ROW(part4_bstrengths[[#This Row],[uniquepersonnelid]])-1,INDEX(part4_behavioral_strengths,ROW(part4_bstrengths[[#This Row],[uniquepersonnelid]])-1,1),"")</f>
        <v/>
      </c>
    </row>
    <row r="7" spans="1:5" x14ac:dyDescent="0.25">
      <c r="A7" t="str" cm="1">
        <f t="array" ref="A7">IF(part4_bstrengths[[#This Row],[behavioral_strengths]]="","",demographics[uniquepersonnelid])</f>
        <v/>
      </c>
      <c r="B7" t="str">
        <f>IF(part4_bstrengths[[#This Row],[behavioral_strengths]]="","","SY "&amp;sy_start&amp;"-"&amp;sy_end)</f>
        <v/>
      </c>
      <c r="C7" t="str">
        <f>IF(part4_bstrengths[[#This Row],[behavioral_strengths]]="","",career_stage)</f>
        <v/>
      </c>
      <c r="D7" t="str">
        <f>IF(part4_bstrengths[[#This Row],[behavioral_strengths]]="","",teacher_type)</f>
        <v/>
      </c>
      <c r="E7" t="str" cm="1">
        <f t="array" ref="E7">IF(COUNTA(part4_behavioral_strengths)&gt;=ROW(part4_bstrengths[[#This Row],[uniquepersonnelid]])-1,INDEX(part4_behavioral_strengths,ROW(part4_bstrengths[[#This Row],[uniquepersonnelid]])-1,1),"")</f>
        <v/>
      </c>
    </row>
  </sheetData>
  <sheetProtection algorithmName="SHA-512" hashValue="PqjfTGch3i4xxwKW1Cj3SbO1Jpmxva8v0iDvB76lds6GBEYkF+4NJkf6HyBY6Jjmziair6Ic2IV7FiY7zH1WJA==" saltValue="QKQEpzabSmyKuFKUv85n0w==" spinCount="100000" sheet="1" objects="1" scenarios="1" selectLockedCells="1" selectUnlockedCells="1"/>
  <pageMargins left="0.7" right="0.7" top="0.75" bottom="0.75" header="0.3" footer="0.3"/>
  <pageSetup orientation="portrait" horizontalDpi="0" verticalDpi="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8B327-CEBE-B149-A858-24BF1AE8EAE8}">
  <sheetPr codeName="tbl_part4_functional_weakness"/>
  <dimension ref="A1:I39"/>
  <sheetViews>
    <sheetView zoomScale="175" zoomScaleNormal="337" workbookViewId="0">
      <selection activeCell="D22" sqref="D22"/>
    </sheetView>
  </sheetViews>
  <sheetFormatPr defaultColWidth="8.85546875" defaultRowHeight="15" x14ac:dyDescent="0.25"/>
  <cols>
    <col min="1" max="1" width="23.85546875" customWidth="1"/>
    <col min="2" max="2" width="14.140625" bestFit="1" customWidth="1"/>
    <col min="3" max="3" width="12" customWidth="1"/>
    <col min="4" max="4" width="13" customWidth="1"/>
    <col min="5" max="5" width="10.28515625" customWidth="1"/>
  </cols>
  <sheetData>
    <row r="1" spans="1:9" x14ac:dyDescent="0.25">
      <c r="A1" t="s">
        <v>23</v>
      </c>
      <c r="B1" t="s">
        <v>5</v>
      </c>
      <c r="C1" t="s">
        <v>7</v>
      </c>
      <c r="D1" t="s">
        <v>6</v>
      </c>
      <c r="E1" t="s">
        <v>104</v>
      </c>
      <c r="F1" t="s">
        <v>105</v>
      </c>
      <c r="G1" t="s">
        <v>106</v>
      </c>
      <c r="H1" t="s">
        <v>107</v>
      </c>
      <c r="I1" t="s">
        <v>108</v>
      </c>
    </row>
    <row r="2" spans="1:9" x14ac:dyDescent="0.25">
      <c r="A2" t="str" cm="1">
        <f t="array" aca="1" ref="A2" ca="1">IF(part4_fweakness[[#This Row],[functional_weakness]]="","",demographics[uniquepersonnelid])</f>
        <v>REG4A-01-301418-4363744</v>
      </c>
      <c r="B2" t="str">
        <f>IF(part4_fweakness[[#This Row],[functional_weakness]]="","","SY "&amp;sy_start&amp;"-"&amp;sy_end)</f>
        <v>SY 2023-2024</v>
      </c>
      <c r="C2" t="str">
        <f>IF(part4_fweakness[[#This Row],[functional_weakness]]="","",career_stage)</f>
        <v>P</v>
      </c>
      <c r="D2" t="str">
        <f>IF(part4_fweakness[[#This Row],[functional_weakness]]="","",teacher_type)</f>
        <v>R</v>
      </c>
      <c r="E2" t="str" cm="1">
        <f t="array" ref="E2">IF(COUNTA(part4_functional_weakness)&gt;=ROW(part4_fweakness[[#This Row],[uniquepersonnelid]])-1,INDEX(part4_functional_weakness,ROW(part4_fweakness[[#This Row],[uniquepersonnelid]])-1,1),"")</f>
        <v>7.3.2</v>
      </c>
      <c r="F2" t="str" cm="1">
        <f t="array" ref="F2">IF(part4_fweakness[[#This Row],[functional_weakness]]="","",IF(INDEX(part4_functional,ROW(part4_fweakness[[#This Row],[uniquepersonnelid]])-1,1)="","",INDEX(part4_functional,ROW(part4_fweakness[[#This Row],[uniquepersonnelid]])-1,1)))</f>
        <v>Applying  learning  from attending different webinars through face to face and virtual. Reading article or news that updated in our new educational system.</v>
      </c>
      <c r="G2" t="str" cm="1">
        <f t="array" ref="G2">IF(part4_fweakness[[#This Row],[functional_weakness]]="","",IF(INDEX(part4_functional,ROW(part4_fweakness[[#This Row],[uniquepersonnelid]])-1,2)="","",INDEX(part4_functional,ROW(part4_fweakness[[#This Row],[uniquepersonnelid]])-1,2)))</f>
        <v>Application of new ideas in teaching strategies, teaching techniques or modalities gathered from webinars. Asked the help of the Teacher's Aid Provider (TAP) like Master Teachers.</v>
      </c>
      <c r="H2" t="str" cm="1">
        <f t="array" ref="H2">IF(part4_fweakness[[#This Row],[functional_weakness]]="","",IF(INDEX(part4_functional,ROW(part4_fweakness[[#This Row],[uniquepersonnelid]])-1,3)="","",INDEX(part4_functional,ROW(part4_fweakness[[#This Row],[uniquepersonnelid]])-1,3)))</f>
        <v>Year round</v>
      </c>
      <c r="I2" t="str" cm="1">
        <f t="array" ref="I2">IF(part4_fweakness[[#This Row],[functional_weakness]]="","",IF(INDEX(part4_functional,ROW(part4_fweakness[[#This Row],[uniquepersonnelid]])-1,4)="","",INDEX(part4_functional,ROW(part4_fweakness[[#This Row],[uniquepersonnelid]])-1,4)))</f>
        <v>Learning and Development Team /Supervisor/ School Head/ Department Head/ Master Teacher. Face to face INSET given by the school.</v>
      </c>
    </row>
    <row r="3" spans="1:9" x14ac:dyDescent="0.25">
      <c r="A3" t="str" cm="1">
        <f t="array" aca="1" ref="A3" ca="1">IF(part4_fweakness[[#This Row],[functional_weakness]]="","",demographics[uniquepersonnelid])</f>
        <v>REG4A-01-301418-4363744</v>
      </c>
      <c r="B3" t="str">
        <f>IF(part4_fweakness[[#This Row],[functional_weakness]]="","","SY "&amp;sy_start&amp;"-"&amp;sy_end)</f>
        <v>SY 2023-2024</v>
      </c>
      <c r="C3" t="str">
        <f>IF(part4_fweakness[[#This Row],[functional_weakness]]="","",career_stage)</f>
        <v>P</v>
      </c>
      <c r="D3" t="str">
        <f>IF(part4_fweakness[[#This Row],[functional_weakness]]="","",teacher_type)</f>
        <v>R</v>
      </c>
      <c r="E3" t="str" cm="1">
        <f t="array" ref="E3">IF(COUNTA(part4_functional_weakness)&gt;=ROW(part4_fweakness[[#This Row],[uniquepersonnelid]])-1,INDEX(part4_functional_weakness,ROW(part4_fweakness[[#This Row],[uniquepersonnelid]])-1,1),"")</f>
        <v>7.4.2</v>
      </c>
      <c r="F3" t="str" cm="1">
        <f t="array" ref="F3">IF(part4_fweakness[[#This Row],[functional_weakness]]="","",IF(INDEX(part4_functional,ROW(part4_fweakness[[#This Row],[uniquepersonnelid]])-1,1)="","",INDEX(part4_functional,ROW(part4_fweakness[[#This Row],[uniquepersonnelid]])-1,1)))</f>
        <v>Know the individual multiple intelligences of the students.</v>
      </c>
      <c r="G3" t="str" cm="1">
        <f t="array" ref="G3">IF(part4_fweakness[[#This Row],[functional_weakness]]="","",IF(INDEX(part4_functional,ROW(part4_fweakness[[#This Row],[uniquepersonnelid]])-1,2)="","",INDEX(part4_functional,ROW(part4_fweakness[[#This Row],[uniquepersonnelid]])-1,2)))</f>
        <v>Group them according to their skills, talents, hobby that they like to do. So that  it easy for them to make a Performance Task.</v>
      </c>
      <c r="H3" t="str" cm="1">
        <f t="array" ref="H3">IF(part4_fweakness[[#This Row],[functional_weakness]]="","",IF(INDEX(part4_functional,ROW(part4_fweakness[[#This Row],[uniquepersonnelid]])-1,3)="","",INDEX(part4_functional,ROW(part4_fweakness[[#This Row],[uniquepersonnelid]])-1,3)))</f>
        <v>Year round</v>
      </c>
      <c r="I3" t="str" cm="1">
        <f t="array" ref="I3">IF(part4_fweakness[[#This Row],[functional_weakness]]="","",IF(INDEX(part4_functional,ROW(part4_fweakness[[#This Row],[uniquepersonnelid]])-1,4)="","",INDEX(part4_functional,ROW(part4_fweakness[[#This Row],[uniquepersonnelid]])-1,4)))</f>
        <v>Modules. Learning Materials, Learning Activity Sheets, Learning Resource Materials, video lessons in Youtube Channel.</v>
      </c>
    </row>
    <row r="4" spans="1:9" x14ac:dyDescent="0.25">
      <c r="A4" t="str" cm="1">
        <f t="array" aca="1" ref="A4" ca="1">IF(part4_fweakness[[#This Row],[functional_weakness]]="","",demographics[uniquepersonnelid])</f>
        <v>REG4A-01-301418-4363744</v>
      </c>
      <c r="B4" t="str">
        <f>IF(part4_fweakness[[#This Row],[functional_weakness]]="","","SY "&amp;sy_start&amp;"-"&amp;sy_end)</f>
        <v>SY 2023-2024</v>
      </c>
      <c r="C4" t="str">
        <f>IF(part4_fweakness[[#This Row],[functional_weakness]]="","",career_stage)</f>
        <v>P</v>
      </c>
      <c r="D4" t="str">
        <f>IF(part4_fweakness[[#This Row],[functional_weakness]]="","",teacher_type)</f>
        <v>R</v>
      </c>
      <c r="E4" cm="1">
        <f t="array" ref="E4">IF(COUNTA(part4_functional_weakness)&gt;=ROW(part4_fweakness[[#This Row],[uniquepersonnelid]])-1,INDEX(part4_functional_weakness,ROW(part4_fweakness[[#This Row],[uniquepersonnelid]])-1,1),"")</f>
        <v>15</v>
      </c>
      <c r="F4" t="str" cm="1">
        <f t="array" ref="F4">IF(part4_fweakness[[#This Row],[functional_weakness]]="","",IF(INDEX(part4_functional,ROW(part4_fweakness[[#This Row],[uniquepersonnelid]])-1,1)="","",INDEX(part4_functional,ROW(part4_fweakness[[#This Row],[uniquepersonnelid]])-1,1)))</f>
        <v>Attending some seminars that are related in Guidance and Counseling or in a Human Behavior. Ask the help of Guidance Counselor if I will encounter different student's behavior in my class.</v>
      </c>
      <c r="G4" t="str" cm="1">
        <f t="array" ref="G4">IF(part4_fweakness[[#This Row],[functional_weakness]]="","",IF(INDEX(part4_functional,ROW(part4_fweakness[[#This Row],[uniquepersonnelid]])-1,2)="","",INDEX(part4_functional,ROW(part4_fweakness[[#This Row],[uniquepersonnelid]])-1,2)))</f>
        <v xml:space="preserve">Application of new ideas and methodologies in handling students with different behavior.Let him to express his feelings or emotions through his drawing. </v>
      </c>
      <c r="H4" t="str" cm="1">
        <f t="array" ref="H4">IF(part4_fweakness[[#This Row],[functional_weakness]]="","",IF(INDEX(part4_functional,ROW(part4_fweakness[[#This Row],[uniquepersonnelid]])-1,3)="","",INDEX(part4_functional,ROW(part4_fweakness[[#This Row],[uniquepersonnelid]])-1,3)))</f>
        <v>Year round</v>
      </c>
      <c r="I4" t="str" cm="1">
        <f t="array" ref="I4">IF(part4_fweakness[[#This Row],[functional_weakness]]="","",IF(INDEX(part4_functional,ROW(part4_fweakness[[#This Row],[uniquepersonnelid]])-1,4)="","",INDEX(part4_functional,ROW(part4_fweakness[[#This Row],[uniquepersonnelid]])-1,4)))</f>
        <v>Guindance Councelor, Psychologist Person</v>
      </c>
    </row>
    <row r="5" spans="1:9" x14ac:dyDescent="0.25">
      <c r="A5" t="str" cm="1">
        <f t="array" ref="A5">IF(part4_fweakness[[#This Row],[functional_weakness]]="","",demographics[uniquepersonnelid])</f>
        <v/>
      </c>
      <c r="B5" t="str">
        <f>IF(part4_fweakness[[#This Row],[functional_weakness]]="","","SY "&amp;sy_start&amp;"-"&amp;sy_end)</f>
        <v/>
      </c>
      <c r="C5" t="str">
        <f>IF(part4_fweakness[[#This Row],[functional_weakness]]="","",career_stage)</f>
        <v/>
      </c>
      <c r="D5" t="str">
        <f>IF(part4_fweakness[[#This Row],[functional_weakness]]="","",teacher_type)</f>
        <v/>
      </c>
      <c r="E5" t="str" cm="1">
        <f t="array" ref="E5">IF(COUNTA(part4_functional_weakness)&gt;=ROW(part4_fweakness[[#This Row],[uniquepersonnelid]])-1,INDEX(part4_functional_weakness,ROW(part4_fweakness[[#This Row],[uniquepersonnelid]])-1,1),"")</f>
        <v/>
      </c>
      <c r="F5" t="str" cm="1">
        <f t="array" ref="F5">IF(part4_fweakness[[#This Row],[functional_weakness]]="","",IF(INDEX(part4_functional,ROW(part4_fweakness[[#This Row],[uniquepersonnelid]])-1,1)="","",INDEX(part4_functional,ROW(part4_fweakness[[#This Row],[uniquepersonnelid]])-1,1)))</f>
        <v/>
      </c>
      <c r="G5" t="str" cm="1">
        <f t="array" ref="G5">IF(part4_fweakness[[#This Row],[functional_weakness]]="","",IF(INDEX(part4_functional,ROW(part4_fweakness[[#This Row],[uniquepersonnelid]])-1,2)="","",INDEX(part4_functional,ROW(part4_fweakness[[#This Row],[uniquepersonnelid]])-1,2)))</f>
        <v/>
      </c>
      <c r="H5" t="str" cm="1">
        <f t="array" ref="H5">IF(part4_fweakness[[#This Row],[functional_weakness]]="","",IF(INDEX(part4_functional,ROW(part4_fweakness[[#This Row],[uniquepersonnelid]])-1,3)="","",INDEX(part4_functional,ROW(part4_fweakness[[#This Row],[uniquepersonnelid]])-1,3)))</f>
        <v/>
      </c>
      <c r="I5" t="str" cm="1">
        <f t="array" ref="I5">IF(part4_fweakness[[#This Row],[functional_weakness]]="","",IF(INDEX(part4_functional,ROW(part4_fweakness[[#This Row],[uniquepersonnelid]])-1,4)="","",INDEX(part4_functional,ROW(part4_fweakness[[#This Row],[uniquepersonnelid]])-1,4)))</f>
        <v/>
      </c>
    </row>
    <row r="6" spans="1:9" x14ac:dyDescent="0.25">
      <c r="A6" t="str" cm="1">
        <f t="array" ref="A6">IF(part4_fweakness[[#This Row],[functional_weakness]]="","",demographics[uniquepersonnelid])</f>
        <v/>
      </c>
      <c r="B6" t="str">
        <f>IF(part4_fweakness[[#This Row],[functional_weakness]]="","","SY "&amp;sy_start&amp;"-"&amp;sy_end)</f>
        <v/>
      </c>
      <c r="C6" t="str">
        <f>IF(part4_fweakness[[#This Row],[functional_weakness]]="","",career_stage)</f>
        <v/>
      </c>
      <c r="D6" t="str">
        <f>IF(part4_fweakness[[#This Row],[functional_weakness]]="","",teacher_type)</f>
        <v/>
      </c>
      <c r="E6" t="str" cm="1">
        <f t="array" ref="E6">IF(COUNTA(part4_functional_weakness)&gt;=ROW(part4_fweakness[[#This Row],[uniquepersonnelid]])-1,INDEX(part4_functional_weakness,ROW(part4_fweakness[[#This Row],[uniquepersonnelid]])-1,1),"")</f>
        <v/>
      </c>
      <c r="F6" t="str" cm="1">
        <f t="array" ref="F6">IF(part4_fweakness[[#This Row],[functional_weakness]]="","",IF(INDEX(part4_functional,ROW(part4_fweakness[[#This Row],[uniquepersonnelid]])-1,1)="","",INDEX(part4_functional,ROW(part4_fweakness[[#This Row],[uniquepersonnelid]])-1,1)))</f>
        <v/>
      </c>
      <c r="G6" t="str" cm="1">
        <f t="array" ref="G6">IF(part4_fweakness[[#This Row],[functional_weakness]]="","",IF(INDEX(part4_functional,ROW(part4_fweakness[[#This Row],[uniquepersonnelid]])-1,2)="","",INDEX(part4_functional,ROW(part4_fweakness[[#This Row],[uniquepersonnelid]])-1,2)))</f>
        <v/>
      </c>
      <c r="H6" t="str" cm="1">
        <f t="array" ref="H6">IF(part4_fweakness[[#This Row],[functional_weakness]]="","",IF(INDEX(part4_functional,ROW(part4_fweakness[[#This Row],[uniquepersonnelid]])-1,3)="","",INDEX(part4_functional,ROW(part4_fweakness[[#This Row],[uniquepersonnelid]])-1,3)))</f>
        <v/>
      </c>
      <c r="I6" t="str" cm="1">
        <f t="array" ref="I6">IF(part4_fweakness[[#This Row],[functional_weakness]]="","",IF(INDEX(part4_functional,ROW(part4_fweakness[[#This Row],[uniquepersonnelid]])-1,4)="","",INDEX(part4_functional,ROW(part4_fweakness[[#This Row],[uniquepersonnelid]])-1,4)))</f>
        <v/>
      </c>
    </row>
    <row r="7" spans="1:9" x14ac:dyDescent="0.25">
      <c r="A7" t="str" cm="1">
        <f t="array" ref="A7">IF(part4_fweakness[[#This Row],[functional_weakness]]="","",demographics[uniquepersonnelid])</f>
        <v/>
      </c>
      <c r="B7" t="str">
        <f>IF(part4_fweakness[[#This Row],[functional_weakness]]="","","SY "&amp;sy_start&amp;"-"&amp;sy_end)</f>
        <v/>
      </c>
      <c r="C7" t="str">
        <f>IF(part4_fweakness[[#This Row],[functional_weakness]]="","",career_stage)</f>
        <v/>
      </c>
      <c r="D7" t="str">
        <f>IF(part4_fweakness[[#This Row],[functional_weakness]]="","",teacher_type)</f>
        <v/>
      </c>
      <c r="E7" t="str" cm="1">
        <f t="array" ref="E7">IF(COUNTA(part4_functional_weakness)&gt;=ROW(part4_fweakness[[#This Row],[uniquepersonnelid]])-1,INDEX(part4_functional_weakness,ROW(part4_fweakness[[#This Row],[uniquepersonnelid]])-1,1),"")</f>
        <v/>
      </c>
      <c r="F7" t="str" cm="1">
        <f t="array" ref="F7">IF(part4_fweakness[[#This Row],[functional_weakness]]="","",IF(INDEX(part4_functional,ROW(part4_fweakness[[#This Row],[uniquepersonnelid]])-1,1)="","",INDEX(part4_functional,ROW(part4_fweakness[[#This Row],[uniquepersonnelid]])-1,1)))</f>
        <v/>
      </c>
      <c r="G7" t="str" cm="1">
        <f t="array" ref="G7">IF(part4_fweakness[[#This Row],[functional_weakness]]="","",IF(INDEX(part4_functional,ROW(part4_fweakness[[#This Row],[uniquepersonnelid]])-1,2)="","",INDEX(part4_functional,ROW(part4_fweakness[[#This Row],[uniquepersonnelid]])-1,2)))</f>
        <v/>
      </c>
      <c r="H7" t="str" cm="1">
        <f t="array" ref="H7">IF(part4_fweakness[[#This Row],[functional_weakness]]="","",IF(INDEX(part4_functional,ROW(part4_fweakness[[#This Row],[uniquepersonnelid]])-1,3)="","",INDEX(part4_functional,ROW(part4_fweakness[[#This Row],[uniquepersonnelid]])-1,3)))</f>
        <v/>
      </c>
      <c r="I7" t="str" cm="1">
        <f t="array" ref="I7">IF(part4_fweakness[[#This Row],[functional_weakness]]="","",IF(INDEX(part4_functional,ROW(part4_fweakness[[#This Row],[uniquepersonnelid]])-1,4)="","",INDEX(part4_functional,ROW(part4_fweakness[[#This Row],[uniquepersonnelid]])-1,4)))</f>
        <v/>
      </c>
    </row>
    <row r="8" spans="1:9" x14ac:dyDescent="0.25">
      <c r="A8" t="str" cm="1">
        <f t="array" ref="A8">IF(part4_fweakness[[#This Row],[functional_weakness]]="","",demographics[uniquepersonnelid])</f>
        <v/>
      </c>
      <c r="B8" t="str">
        <f>IF(part4_fweakness[[#This Row],[functional_weakness]]="","","SY "&amp;sy_start&amp;"-"&amp;sy_end)</f>
        <v/>
      </c>
      <c r="C8" t="str">
        <f>IF(part4_fweakness[[#This Row],[functional_weakness]]="","",career_stage)</f>
        <v/>
      </c>
      <c r="D8" t="str">
        <f>IF(part4_fweakness[[#This Row],[functional_weakness]]="","",teacher_type)</f>
        <v/>
      </c>
      <c r="E8" t="str" cm="1">
        <f t="array" ref="E8">IF(COUNTA(part4_functional_weakness)&gt;=ROW(part4_fweakness[[#This Row],[uniquepersonnelid]])-1,INDEX(part4_functional_weakness,ROW(part4_fweakness[[#This Row],[uniquepersonnelid]])-1,1),"")</f>
        <v/>
      </c>
      <c r="F8" t="str" cm="1">
        <f t="array" ref="F8">IF(part4_fweakness[[#This Row],[functional_weakness]]="","",IF(INDEX(part4_functional,ROW(part4_fweakness[[#This Row],[uniquepersonnelid]])-1,1)="","",INDEX(part4_functional,ROW(part4_fweakness[[#This Row],[uniquepersonnelid]])-1,1)))</f>
        <v/>
      </c>
      <c r="G8" t="str" cm="1">
        <f t="array" ref="G8">IF(part4_fweakness[[#This Row],[functional_weakness]]="","",IF(INDEX(part4_functional,ROW(part4_fweakness[[#This Row],[uniquepersonnelid]])-1,2)="","",INDEX(part4_functional,ROW(part4_fweakness[[#This Row],[uniquepersonnelid]])-1,2)))</f>
        <v/>
      </c>
      <c r="H8" t="str" cm="1">
        <f t="array" ref="H8">IF(part4_fweakness[[#This Row],[functional_weakness]]="","",IF(INDEX(part4_functional,ROW(part4_fweakness[[#This Row],[uniquepersonnelid]])-1,3)="","",INDEX(part4_functional,ROW(part4_fweakness[[#This Row],[uniquepersonnelid]])-1,3)))</f>
        <v/>
      </c>
      <c r="I8" t="str" cm="1">
        <f t="array" ref="I8">IF(part4_fweakness[[#This Row],[functional_weakness]]="","",IF(INDEX(part4_functional,ROW(part4_fweakness[[#This Row],[uniquepersonnelid]])-1,4)="","",INDEX(part4_functional,ROW(part4_fweakness[[#This Row],[uniquepersonnelid]])-1,4)))</f>
        <v/>
      </c>
    </row>
    <row r="9" spans="1:9" x14ac:dyDescent="0.25">
      <c r="A9" t="str" cm="1">
        <f t="array" ref="A9">IF(part4_fweakness[[#This Row],[functional_weakness]]="","",demographics[uniquepersonnelid])</f>
        <v/>
      </c>
      <c r="B9" t="str">
        <f>IF(part4_fweakness[[#This Row],[functional_weakness]]="","","SY "&amp;sy_start&amp;"-"&amp;sy_end)</f>
        <v/>
      </c>
      <c r="C9" t="str">
        <f>IF(part4_fweakness[[#This Row],[functional_weakness]]="","",career_stage)</f>
        <v/>
      </c>
      <c r="D9" t="str">
        <f>IF(part4_fweakness[[#This Row],[functional_weakness]]="","",teacher_type)</f>
        <v/>
      </c>
      <c r="E9" t="str" cm="1">
        <f t="array" ref="E9">IF(COUNTA(part4_functional_weakness)&gt;=ROW(part4_fweakness[[#This Row],[uniquepersonnelid]])-1,INDEX(part4_functional_weakness,ROW(part4_fweakness[[#This Row],[uniquepersonnelid]])-1,1),"")</f>
        <v/>
      </c>
      <c r="F9" t="str" cm="1">
        <f t="array" ref="F9">IF(part4_fweakness[[#This Row],[functional_weakness]]="","",IF(INDEX(part4_functional,ROW(part4_fweakness[[#This Row],[uniquepersonnelid]])-1,1)="","",INDEX(part4_functional,ROW(part4_fweakness[[#This Row],[uniquepersonnelid]])-1,1)))</f>
        <v/>
      </c>
      <c r="G9" t="str" cm="1">
        <f t="array" ref="G9">IF(part4_fweakness[[#This Row],[functional_weakness]]="","",IF(INDEX(part4_functional,ROW(part4_fweakness[[#This Row],[uniquepersonnelid]])-1,2)="","",INDEX(part4_functional,ROW(part4_fweakness[[#This Row],[uniquepersonnelid]])-1,2)))</f>
        <v/>
      </c>
      <c r="H9" t="str" cm="1">
        <f t="array" ref="H9">IF(part4_fweakness[[#This Row],[functional_weakness]]="","",IF(INDEX(part4_functional,ROW(part4_fweakness[[#This Row],[uniquepersonnelid]])-1,3)="","",INDEX(part4_functional,ROW(part4_fweakness[[#This Row],[uniquepersonnelid]])-1,3)))</f>
        <v/>
      </c>
      <c r="I9" t="str" cm="1">
        <f t="array" ref="I9">IF(part4_fweakness[[#This Row],[functional_weakness]]="","",IF(INDEX(part4_functional,ROW(part4_fweakness[[#This Row],[uniquepersonnelid]])-1,4)="","",INDEX(part4_functional,ROW(part4_fweakness[[#This Row],[uniquepersonnelid]])-1,4)))</f>
        <v/>
      </c>
    </row>
    <row r="10" spans="1:9" x14ac:dyDescent="0.25">
      <c r="A10" t="str" cm="1">
        <f t="array" ref="A10">IF(part4_fweakness[[#This Row],[functional_weakness]]="","",demographics[uniquepersonnelid])</f>
        <v/>
      </c>
      <c r="B10" t="str">
        <f>IF(part4_fweakness[[#This Row],[functional_weakness]]="","","SY "&amp;sy_start&amp;"-"&amp;sy_end)</f>
        <v/>
      </c>
      <c r="C10" t="str">
        <f>IF(part4_fweakness[[#This Row],[functional_weakness]]="","",career_stage)</f>
        <v/>
      </c>
      <c r="D10" t="str">
        <f>IF(part4_fweakness[[#This Row],[functional_weakness]]="","",teacher_type)</f>
        <v/>
      </c>
      <c r="E10" t="str" cm="1">
        <f t="array" ref="E10">IF(COUNTA(part4_functional_weakness)&gt;=ROW(part4_fweakness[[#This Row],[uniquepersonnelid]])-1,INDEX(part4_functional_weakness,ROW(part4_fweakness[[#This Row],[uniquepersonnelid]])-1,1),"")</f>
        <v/>
      </c>
      <c r="F10" t="str" cm="1">
        <f t="array" ref="F10">IF(part4_fweakness[[#This Row],[functional_weakness]]="","",IF(INDEX(part4_functional,ROW(part4_fweakness[[#This Row],[uniquepersonnelid]])-1,1)="","",INDEX(part4_functional,ROW(part4_fweakness[[#This Row],[uniquepersonnelid]])-1,1)))</f>
        <v/>
      </c>
      <c r="G10" t="str" cm="1">
        <f t="array" ref="G10">IF(part4_fweakness[[#This Row],[functional_weakness]]="","",IF(INDEX(part4_functional,ROW(part4_fweakness[[#This Row],[uniquepersonnelid]])-1,2)="","",INDEX(part4_functional,ROW(part4_fweakness[[#This Row],[uniquepersonnelid]])-1,2)))</f>
        <v/>
      </c>
      <c r="H10" t="str" cm="1">
        <f t="array" ref="H10">IF(part4_fweakness[[#This Row],[functional_weakness]]="","",IF(INDEX(part4_functional,ROW(part4_fweakness[[#This Row],[uniquepersonnelid]])-1,3)="","",INDEX(part4_functional,ROW(part4_fweakness[[#This Row],[uniquepersonnelid]])-1,3)))</f>
        <v/>
      </c>
      <c r="I10" t="str" cm="1">
        <f t="array" ref="I10">IF(part4_fweakness[[#This Row],[functional_weakness]]="","",IF(INDEX(part4_functional,ROW(part4_fweakness[[#This Row],[uniquepersonnelid]])-1,4)="","",INDEX(part4_functional,ROW(part4_fweakness[[#This Row],[uniquepersonnelid]])-1,4)))</f>
        <v/>
      </c>
    </row>
    <row r="11" spans="1:9" x14ac:dyDescent="0.25">
      <c r="A11" t="str" cm="1">
        <f t="array" ref="A11">IF(part4_fweakness[[#This Row],[functional_weakness]]="","",demographics[uniquepersonnelid])</f>
        <v/>
      </c>
      <c r="B11" t="str">
        <f>IF(part4_fweakness[[#This Row],[functional_weakness]]="","","SY "&amp;sy_start&amp;"-"&amp;sy_end)</f>
        <v/>
      </c>
      <c r="C11" t="str">
        <f>IF(part4_fweakness[[#This Row],[functional_weakness]]="","",career_stage)</f>
        <v/>
      </c>
      <c r="D11" t="str">
        <f>IF(part4_fweakness[[#This Row],[functional_weakness]]="","",teacher_type)</f>
        <v/>
      </c>
      <c r="E11" t="str" cm="1">
        <f t="array" ref="E11">IF(COUNTA(part4_functional_weakness)&gt;=ROW(part4_fweakness[[#This Row],[uniquepersonnelid]])-1,INDEX(part4_functional_weakness,ROW(part4_fweakness[[#This Row],[uniquepersonnelid]])-1,1),"")</f>
        <v/>
      </c>
      <c r="F11" t="str" cm="1">
        <f t="array" ref="F11">IF(part4_fweakness[[#This Row],[functional_weakness]]="","",IF(INDEX(part4_functional,ROW(part4_fweakness[[#This Row],[uniquepersonnelid]])-1,1)="","",INDEX(part4_functional,ROW(part4_fweakness[[#This Row],[uniquepersonnelid]])-1,1)))</f>
        <v/>
      </c>
      <c r="G11" t="str" cm="1">
        <f t="array" ref="G11">IF(part4_fweakness[[#This Row],[functional_weakness]]="","",IF(INDEX(part4_functional,ROW(part4_fweakness[[#This Row],[uniquepersonnelid]])-1,2)="","",INDEX(part4_functional,ROW(part4_fweakness[[#This Row],[uniquepersonnelid]])-1,2)))</f>
        <v/>
      </c>
      <c r="H11" t="str" cm="1">
        <f t="array" ref="H11">IF(part4_fweakness[[#This Row],[functional_weakness]]="","",IF(INDEX(part4_functional,ROW(part4_fweakness[[#This Row],[uniquepersonnelid]])-1,3)="","",INDEX(part4_functional,ROW(part4_fweakness[[#This Row],[uniquepersonnelid]])-1,3)))</f>
        <v/>
      </c>
      <c r="I11" t="str" cm="1">
        <f t="array" ref="I11">IF(part4_fweakness[[#This Row],[functional_weakness]]="","",IF(INDEX(part4_functional,ROW(part4_fweakness[[#This Row],[uniquepersonnelid]])-1,4)="","",INDEX(part4_functional,ROW(part4_fweakness[[#This Row],[uniquepersonnelid]])-1,4)))</f>
        <v/>
      </c>
    </row>
    <row r="12" spans="1:9" x14ac:dyDescent="0.25">
      <c r="A12" t="str" cm="1">
        <f t="array" ref="A12">IF(part4_fweakness[[#This Row],[functional_weakness]]="","",demographics[uniquepersonnelid])</f>
        <v/>
      </c>
      <c r="B12" t="str">
        <f>IF(part4_fweakness[[#This Row],[functional_weakness]]="","","SY "&amp;sy_start&amp;"-"&amp;sy_end)</f>
        <v/>
      </c>
      <c r="C12" t="str">
        <f>IF(part4_fweakness[[#This Row],[functional_weakness]]="","",career_stage)</f>
        <v/>
      </c>
      <c r="D12" t="str">
        <f>IF(part4_fweakness[[#This Row],[functional_weakness]]="","",teacher_type)</f>
        <v/>
      </c>
      <c r="E12" t="str" cm="1">
        <f t="array" ref="E12">IF(COUNTA(part4_functional_weakness)&gt;=ROW(part4_fweakness[[#This Row],[uniquepersonnelid]])-1,INDEX(part4_functional_weakness,ROW(part4_fweakness[[#This Row],[uniquepersonnelid]])-1,1),"")</f>
        <v/>
      </c>
      <c r="F12" t="str" cm="1">
        <f t="array" ref="F12">IF(part4_fweakness[[#This Row],[functional_weakness]]="","",IF(INDEX(part4_functional,ROW(part4_fweakness[[#This Row],[uniquepersonnelid]])-1,1)="","",INDEX(part4_functional,ROW(part4_fweakness[[#This Row],[uniquepersonnelid]])-1,1)))</f>
        <v/>
      </c>
      <c r="G12" t="str" cm="1">
        <f t="array" ref="G12">IF(part4_fweakness[[#This Row],[functional_weakness]]="","",IF(INDEX(part4_functional,ROW(part4_fweakness[[#This Row],[uniquepersonnelid]])-1,2)="","",INDEX(part4_functional,ROW(part4_fweakness[[#This Row],[uniquepersonnelid]])-1,2)))</f>
        <v/>
      </c>
      <c r="H12" t="str" cm="1">
        <f t="array" ref="H12">IF(part4_fweakness[[#This Row],[functional_weakness]]="","",IF(INDEX(part4_functional,ROW(part4_fweakness[[#This Row],[uniquepersonnelid]])-1,3)="","",INDEX(part4_functional,ROW(part4_fweakness[[#This Row],[uniquepersonnelid]])-1,3)))</f>
        <v/>
      </c>
      <c r="I12" t="str" cm="1">
        <f t="array" ref="I12">IF(part4_fweakness[[#This Row],[functional_weakness]]="","",IF(INDEX(part4_functional,ROW(part4_fweakness[[#This Row],[uniquepersonnelid]])-1,4)="","",INDEX(part4_functional,ROW(part4_fweakness[[#This Row],[uniquepersonnelid]])-1,4)))</f>
        <v/>
      </c>
    </row>
    <row r="13" spans="1:9" x14ac:dyDescent="0.25">
      <c r="A13" t="str" cm="1">
        <f t="array" ref="A13">IF(part4_fweakness[[#This Row],[functional_weakness]]="","",demographics[uniquepersonnelid])</f>
        <v/>
      </c>
      <c r="B13" t="str">
        <f>IF(part4_fweakness[[#This Row],[functional_weakness]]="","","SY "&amp;sy_start&amp;"-"&amp;sy_end)</f>
        <v/>
      </c>
      <c r="C13" t="str">
        <f>IF(part4_fweakness[[#This Row],[functional_weakness]]="","",career_stage)</f>
        <v/>
      </c>
      <c r="D13" t="str">
        <f>IF(part4_fweakness[[#This Row],[functional_weakness]]="","",teacher_type)</f>
        <v/>
      </c>
      <c r="E13" t="str" cm="1">
        <f t="array" ref="E13">IF(COUNTA(part4_functional_weakness)&gt;=ROW(part4_fweakness[[#This Row],[uniquepersonnelid]])-1,INDEX(part4_functional_weakness,ROW(part4_fweakness[[#This Row],[uniquepersonnelid]])-1,1),"")</f>
        <v/>
      </c>
      <c r="F13" t="str" cm="1">
        <f t="array" ref="F13">IF(part4_fweakness[[#This Row],[functional_weakness]]="","",IF(INDEX(part4_functional,ROW(part4_fweakness[[#This Row],[uniquepersonnelid]])-1,1)="","",INDEX(part4_functional,ROW(part4_fweakness[[#This Row],[uniquepersonnelid]])-1,1)))</f>
        <v/>
      </c>
      <c r="G13" t="str" cm="1">
        <f t="array" ref="G13">IF(part4_fweakness[[#This Row],[functional_weakness]]="","",IF(INDEX(part4_functional,ROW(part4_fweakness[[#This Row],[uniquepersonnelid]])-1,2)="","",INDEX(part4_functional,ROW(part4_fweakness[[#This Row],[uniquepersonnelid]])-1,2)))</f>
        <v/>
      </c>
      <c r="H13" t="str" cm="1">
        <f t="array" ref="H13">IF(part4_fweakness[[#This Row],[functional_weakness]]="","",IF(INDEX(part4_functional,ROW(part4_fweakness[[#This Row],[uniquepersonnelid]])-1,3)="","",INDEX(part4_functional,ROW(part4_fweakness[[#This Row],[uniquepersonnelid]])-1,3)))</f>
        <v/>
      </c>
      <c r="I13" t="str" cm="1">
        <f t="array" ref="I13">IF(part4_fweakness[[#This Row],[functional_weakness]]="","",IF(INDEX(part4_functional,ROW(part4_fweakness[[#This Row],[uniquepersonnelid]])-1,4)="","",INDEX(part4_functional,ROW(part4_fweakness[[#This Row],[uniquepersonnelid]])-1,4)))</f>
        <v/>
      </c>
    </row>
    <row r="14" spans="1:9" x14ac:dyDescent="0.25">
      <c r="A14" t="str" cm="1">
        <f t="array" ref="A14">IF(part4_fweakness[[#This Row],[functional_weakness]]="","",demographics[uniquepersonnelid])</f>
        <v/>
      </c>
      <c r="B14" t="str">
        <f>IF(part4_fweakness[[#This Row],[functional_weakness]]="","","SY "&amp;sy_start&amp;"-"&amp;sy_end)</f>
        <v/>
      </c>
      <c r="C14" t="str">
        <f>IF(part4_fweakness[[#This Row],[functional_weakness]]="","",career_stage)</f>
        <v/>
      </c>
      <c r="D14" t="str">
        <f>IF(part4_fweakness[[#This Row],[functional_weakness]]="","",teacher_type)</f>
        <v/>
      </c>
      <c r="E14" t="str" cm="1">
        <f t="array" ref="E14">IF(COUNTA(part4_functional_weakness)&gt;=ROW(part4_fweakness[[#This Row],[uniquepersonnelid]])-1,INDEX(part4_functional_weakness,ROW(part4_fweakness[[#This Row],[uniquepersonnelid]])-1,1),"")</f>
        <v/>
      </c>
      <c r="F14" t="str" cm="1">
        <f t="array" ref="F14">IF(part4_fweakness[[#This Row],[functional_weakness]]="","",IF(INDEX(part4_functional,ROW(part4_fweakness[[#This Row],[uniquepersonnelid]])-1,1)="","",INDEX(part4_functional,ROW(part4_fweakness[[#This Row],[uniquepersonnelid]])-1,1)))</f>
        <v/>
      </c>
      <c r="G14" t="str" cm="1">
        <f t="array" ref="G14">IF(part4_fweakness[[#This Row],[functional_weakness]]="","",IF(INDEX(part4_functional,ROW(part4_fweakness[[#This Row],[uniquepersonnelid]])-1,2)="","",INDEX(part4_functional,ROW(part4_fweakness[[#This Row],[uniquepersonnelid]])-1,2)))</f>
        <v/>
      </c>
      <c r="H14" t="str" cm="1">
        <f t="array" ref="H14">IF(part4_fweakness[[#This Row],[functional_weakness]]="","",IF(INDEX(part4_functional,ROW(part4_fweakness[[#This Row],[uniquepersonnelid]])-1,3)="","",INDEX(part4_functional,ROW(part4_fweakness[[#This Row],[uniquepersonnelid]])-1,3)))</f>
        <v/>
      </c>
      <c r="I14" t="str" cm="1">
        <f t="array" ref="I14">IF(part4_fweakness[[#This Row],[functional_weakness]]="","",IF(INDEX(part4_functional,ROW(part4_fweakness[[#This Row],[uniquepersonnelid]])-1,4)="","",INDEX(part4_functional,ROW(part4_fweakness[[#This Row],[uniquepersonnelid]])-1,4)))</f>
        <v/>
      </c>
    </row>
    <row r="15" spans="1:9" x14ac:dyDescent="0.25">
      <c r="A15" t="str" cm="1">
        <f t="array" ref="A15">IF(part4_fweakness[[#This Row],[functional_weakness]]="","",demographics[uniquepersonnelid])</f>
        <v/>
      </c>
      <c r="B15" t="str">
        <f>IF(part4_fweakness[[#This Row],[functional_weakness]]="","","SY "&amp;sy_start&amp;"-"&amp;sy_end)</f>
        <v/>
      </c>
      <c r="C15" t="str">
        <f>IF(part4_fweakness[[#This Row],[functional_weakness]]="","",career_stage)</f>
        <v/>
      </c>
      <c r="D15" t="str">
        <f>IF(part4_fweakness[[#This Row],[functional_weakness]]="","",teacher_type)</f>
        <v/>
      </c>
      <c r="E15" t="str" cm="1">
        <f t="array" ref="E15">IF(COUNTA(part4_functional_weakness)&gt;=ROW(part4_fweakness[[#This Row],[uniquepersonnelid]])-1,INDEX(part4_functional_weakness,ROW(part4_fweakness[[#This Row],[uniquepersonnelid]])-1,1),"")</f>
        <v/>
      </c>
      <c r="F15" t="str" cm="1">
        <f t="array" ref="F15">IF(part4_fweakness[[#This Row],[functional_weakness]]="","",IF(INDEX(part4_functional,ROW(part4_fweakness[[#This Row],[uniquepersonnelid]])-1,1)="","",INDEX(part4_functional,ROW(part4_fweakness[[#This Row],[uniquepersonnelid]])-1,1)))</f>
        <v/>
      </c>
      <c r="G15" t="str" cm="1">
        <f t="array" ref="G15">IF(part4_fweakness[[#This Row],[functional_weakness]]="","",IF(INDEX(part4_functional,ROW(part4_fweakness[[#This Row],[uniquepersonnelid]])-1,2)="","",INDEX(part4_functional,ROW(part4_fweakness[[#This Row],[uniquepersonnelid]])-1,2)))</f>
        <v/>
      </c>
      <c r="H15" t="str" cm="1">
        <f t="array" ref="H15">IF(part4_fweakness[[#This Row],[functional_weakness]]="","",IF(INDEX(part4_functional,ROW(part4_fweakness[[#This Row],[uniquepersonnelid]])-1,3)="","",INDEX(part4_functional,ROW(part4_fweakness[[#This Row],[uniquepersonnelid]])-1,3)))</f>
        <v/>
      </c>
      <c r="I15" t="str" cm="1">
        <f t="array" ref="I15">IF(part4_fweakness[[#This Row],[functional_weakness]]="","",IF(INDEX(part4_functional,ROW(part4_fweakness[[#This Row],[uniquepersonnelid]])-1,4)="","",INDEX(part4_functional,ROW(part4_fweakness[[#This Row],[uniquepersonnelid]])-1,4)))</f>
        <v/>
      </c>
    </row>
    <row r="16" spans="1:9" x14ac:dyDescent="0.25">
      <c r="A16" t="str" cm="1">
        <f t="array" ref="A16">IF(part4_fweakness[[#This Row],[functional_weakness]]="","",demographics[uniquepersonnelid])</f>
        <v/>
      </c>
      <c r="B16" t="str">
        <f>IF(part4_fweakness[[#This Row],[functional_weakness]]="","","SY "&amp;sy_start&amp;"-"&amp;sy_end)</f>
        <v/>
      </c>
      <c r="C16" t="str">
        <f>IF(part4_fweakness[[#This Row],[functional_weakness]]="","",career_stage)</f>
        <v/>
      </c>
      <c r="D16" t="str">
        <f>IF(part4_fweakness[[#This Row],[functional_weakness]]="","",teacher_type)</f>
        <v/>
      </c>
      <c r="E16" t="str" cm="1">
        <f t="array" ref="E16">IF(COUNTA(part4_functional_weakness)&gt;=ROW(part4_fweakness[[#This Row],[uniquepersonnelid]])-1,INDEX(part4_functional_weakness,ROW(part4_fweakness[[#This Row],[uniquepersonnelid]])-1,1),"")</f>
        <v/>
      </c>
      <c r="F16" t="str" cm="1">
        <f t="array" ref="F16">IF(part4_fweakness[[#This Row],[functional_weakness]]="","",IF(INDEX(part4_functional,ROW(part4_fweakness[[#This Row],[uniquepersonnelid]])-1,1)="","",INDEX(part4_functional,ROW(part4_fweakness[[#This Row],[uniquepersonnelid]])-1,1)))</f>
        <v/>
      </c>
      <c r="G16" t="str" cm="1">
        <f t="array" ref="G16">IF(part4_fweakness[[#This Row],[functional_weakness]]="","",IF(INDEX(part4_functional,ROW(part4_fweakness[[#This Row],[uniquepersonnelid]])-1,2)="","",INDEX(part4_functional,ROW(part4_fweakness[[#This Row],[uniquepersonnelid]])-1,2)))</f>
        <v/>
      </c>
      <c r="H16" t="str" cm="1">
        <f t="array" ref="H16">IF(part4_fweakness[[#This Row],[functional_weakness]]="","",IF(INDEX(part4_functional,ROW(part4_fweakness[[#This Row],[uniquepersonnelid]])-1,3)="","",INDEX(part4_functional,ROW(part4_fweakness[[#This Row],[uniquepersonnelid]])-1,3)))</f>
        <v/>
      </c>
      <c r="I16" t="str" cm="1">
        <f t="array" ref="I16">IF(part4_fweakness[[#This Row],[functional_weakness]]="","",IF(INDEX(part4_functional,ROW(part4_fweakness[[#This Row],[uniquepersonnelid]])-1,4)="","",INDEX(part4_functional,ROW(part4_fweakness[[#This Row],[uniquepersonnelid]])-1,4)))</f>
        <v/>
      </c>
    </row>
    <row r="17" spans="1:9" x14ac:dyDescent="0.25">
      <c r="A17" t="str" cm="1">
        <f t="array" ref="A17">IF(part4_fweakness[[#This Row],[functional_weakness]]="","",demographics[uniquepersonnelid])</f>
        <v/>
      </c>
      <c r="B17" t="str">
        <f>IF(part4_fweakness[[#This Row],[functional_weakness]]="","","SY "&amp;sy_start&amp;"-"&amp;sy_end)</f>
        <v/>
      </c>
      <c r="C17" t="str">
        <f>IF(part4_fweakness[[#This Row],[functional_weakness]]="","",career_stage)</f>
        <v/>
      </c>
      <c r="D17" t="str">
        <f>IF(part4_fweakness[[#This Row],[functional_weakness]]="","",teacher_type)</f>
        <v/>
      </c>
      <c r="E17" t="str" cm="1">
        <f t="array" ref="E17">IF(COUNTA(part4_functional_weakness)&gt;=ROW(part4_fweakness[[#This Row],[uniquepersonnelid]])-1,INDEX(part4_functional_weakness,ROW(part4_fweakness[[#This Row],[uniquepersonnelid]])-1,1),"")</f>
        <v/>
      </c>
      <c r="F17" t="str" cm="1">
        <f t="array" ref="F17">IF(part4_fweakness[[#This Row],[functional_weakness]]="","",IF(INDEX(part4_functional,ROW(part4_fweakness[[#This Row],[uniquepersonnelid]])-1,1)="","",INDEX(part4_functional,ROW(part4_fweakness[[#This Row],[uniquepersonnelid]])-1,1)))</f>
        <v/>
      </c>
      <c r="G17" t="str" cm="1">
        <f t="array" ref="G17">IF(part4_fweakness[[#This Row],[functional_weakness]]="","",IF(INDEX(part4_functional,ROW(part4_fweakness[[#This Row],[uniquepersonnelid]])-1,2)="","",INDEX(part4_functional,ROW(part4_fweakness[[#This Row],[uniquepersonnelid]])-1,2)))</f>
        <v/>
      </c>
      <c r="H17" t="str" cm="1">
        <f t="array" ref="H17">IF(part4_fweakness[[#This Row],[functional_weakness]]="","",IF(INDEX(part4_functional,ROW(part4_fweakness[[#This Row],[uniquepersonnelid]])-1,3)="","",INDEX(part4_functional,ROW(part4_fweakness[[#This Row],[uniquepersonnelid]])-1,3)))</f>
        <v/>
      </c>
      <c r="I17" t="str" cm="1">
        <f t="array" ref="I17">IF(part4_fweakness[[#This Row],[functional_weakness]]="","",IF(INDEX(part4_functional,ROW(part4_fweakness[[#This Row],[uniquepersonnelid]])-1,4)="","",INDEX(part4_functional,ROW(part4_fweakness[[#This Row],[uniquepersonnelid]])-1,4)))</f>
        <v/>
      </c>
    </row>
    <row r="18" spans="1:9" x14ac:dyDescent="0.25">
      <c r="A18" t="str" cm="1">
        <f t="array" ref="A18">IF(part4_fweakness[[#This Row],[functional_weakness]]="","",demographics[uniquepersonnelid])</f>
        <v/>
      </c>
      <c r="B18" t="str">
        <f>IF(part4_fweakness[[#This Row],[functional_weakness]]="","","SY "&amp;sy_start&amp;"-"&amp;sy_end)</f>
        <v/>
      </c>
      <c r="C18" t="str">
        <f>IF(part4_fweakness[[#This Row],[functional_weakness]]="","",career_stage)</f>
        <v/>
      </c>
      <c r="D18" t="str">
        <f>IF(part4_fweakness[[#This Row],[functional_weakness]]="","",teacher_type)</f>
        <v/>
      </c>
      <c r="E18" t="str" cm="1">
        <f t="array" ref="E18">IF(COUNTA(part4_functional_weakness)&gt;=ROW(part4_fweakness[[#This Row],[uniquepersonnelid]])-1,INDEX(part4_functional_weakness,ROW(part4_fweakness[[#This Row],[uniquepersonnelid]])-1,1),"")</f>
        <v/>
      </c>
      <c r="F18" t="str" cm="1">
        <f t="array" ref="F18">IF(part4_fweakness[[#This Row],[functional_weakness]]="","",IF(INDEX(part4_functional,ROW(part4_fweakness[[#This Row],[uniquepersonnelid]])-1,1)="","",INDEX(part4_functional,ROW(part4_fweakness[[#This Row],[uniquepersonnelid]])-1,1)))</f>
        <v/>
      </c>
      <c r="G18" t="str" cm="1">
        <f t="array" ref="G18">IF(part4_fweakness[[#This Row],[functional_weakness]]="","",IF(INDEX(part4_functional,ROW(part4_fweakness[[#This Row],[uniquepersonnelid]])-1,2)="","",INDEX(part4_functional,ROW(part4_fweakness[[#This Row],[uniquepersonnelid]])-1,2)))</f>
        <v/>
      </c>
      <c r="H18" t="str" cm="1">
        <f t="array" ref="H18">IF(part4_fweakness[[#This Row],[functional_weakness]]="","",IF(INDEX(part4_functional,ROW(part4_fweakness[[#This Row],[uniquepersonnelid]])-1,3)="","",INDEX(part4_functional,ROW(part4_fweakness[[#This Row],[uniquepersonnelid]])-1,3)))</f>
        <v/>
      </c>
      <c r="I18" t="str" cm="1">
        <f t="array" ref="I18">IF(part4_fweakness[[#This Row],[functional_weakness]]="","",IF(INDEX(part4_functional,ROW(part4_fweakness[[#This Row],[uniquepersonnelid]])-1,4)="","",INDEX(part4_functional,ROW(part4_fweakness[[#This Row],[uniquepersonnelid]])-1,4)))</f>
        <v/>
      </c>
    </row>
    <row r="19" spans="1:9" x14ac:dyDescent="0.25">
      <c r="A19" t="str" cm="1">
        <f t="array" ref="A19">IF(part4_fweakness[[#This Row],[functional_weakness]]="","",demographics[uniquepersonnelid])</f>
        <v/>
      </c>
      <c r="B19" t="str">
        <f>IF(part4_fweakness[[#This Row],[functional_weakness]]="","","SY "&amp;sy_start&amp;"-"&amp;sy_end)</f>
        <v/>
      </c>
      <c r="C19" t="str">
        <f>IF(part4_fweakness[[#This Row],[functional_weakness]]="","",career_stage)</f>
        <v/>
      </c>
      <c r="D19" t="str">
        <f>IF(part4_fweakness[[#This Row],[functional_weakness]]="","",teacher_type)</f>
        <v/>
      </c>
      <c r="E19" t="str" cm="1">
        <f t="array" ref="E19">IF(COUNTA(part4_functional_weakness)&gt;=ROW(part4_fweakness[[#This Row],[uniquepersonnelid]])-1,INDEX(part4_functional_weakness,ROW(part4_fweakness[[#This Row],[uniquepersonnelid]])-1,1),"")</f>
        <v/>
      </c>
      <c r="F19" t="str" cm="1">
        <f t="array" ref="F19">IF(part4_fweakness[[#This Row],[functional_weakness]]="","",IF(INDEX(part4_functional,ROW(part4_fweakness[[#This Row],[uniquepersonnelid]])-1,1)="","",INDEX(part4_functional,ROW(part4_fweakness[[#This Row],[uniquepersonnelid]])-1,1)))</f>
        <v/>
      </c>
      <c r="G19" t="str" cm="1">
        <f t="array" ref="G19">IF(part4_fweakness[[#This Row],[functional_weakness]]="","",IF(INDEX(part4_functional,ROW(part4_fweakness[[#This Row],[uniquepersonnelid]])-1,2)="","",INDEX(part4_functional,ROW(part4_fweakness[[#This Row],[uniquepersonnelid]])-1,2)))</f>
        <v/>
      </c>
      <c r="H19" t="str" cm="1">
        <f t="array" ref="H19">IF(part4_fweakness[[#This Row],[functional_weakness]]="","",IF(INDEX(part4_functional,ROW(part4_fweakness[[#This Row],[uniquepersonnelid]])-1,3)="","",INDEX(part4_functional,ROW(part4_fweakness[[#This Row],[uniquepersonnelid]])-1,3)))</f>
        <v/>
      </c>
      <c r="I19" t="str" cm="1">
        <f t="array" ref="I19">IF(part4_fweakness[[#This Row],[functional_weakness]]="","",IF(INDEX(part4_functional,ROW(part4_fweakness[[#This Row],[uniquepersonnelid]])-1,4)="","",INDEX(part4_functional,ROW(part4_fweakness[[#This Row],[uniquepersonnelid]])-1,4)))</f>
        <v/>
      </c>
    </row>
    <row r="20" spans="1:9" x14ac:dyDescent="0.25">
      <c r="A20" t="str" cm="1">
        <f t="array" ref="A20">IF(part4_fweakness[[#This Row],[functional_weakness]]="","",demographics[uniquepersonnelid])</f>
        <v/>
      </c>
      <c r="B20" t="str">
        <f>IF(part4_fweakness[[#This Row],[functional_weakness]]="","","SY "&amp;sy_start&amp;"-"&amp;sy_end)</f>
        <v/>
      </c>
      <c r="C20" t="str">
        <f>IF(part4_fweakness[[#This Row],[functional_weakness]]="","",career_stage)</f>
        <v/>
      </c>
      <c r="D20" t="str">
        <f>IF(part4_fweakness[[#This Row],[functional_weakness]]="","",teacher_type)</f>
        <v/>
      </c>
      <c r="E20" t="str" cm="1">
        <f t="array" ref="E20">IF(COUNTA(part4_functional_weakness)&gt;=ROW(part4_fweakness[[#This Row],[uniquepersonnelid]])-1,INDEX(part4_functional_weakness,ROW(part4_fweakness[[#This Row],[uniquepersonnelid]])-1,1),"")</f>
        <v/>
      </c>
      <c r="F20" t="str" cm="1">
        <f t="array" ref="F20">IF(part4_fweakness[[#This Row],[functional_weakness]]="","",IF(INDEX(part4_functional,ROW(part4_fweakness[[#This Row],[uniquepersonnelid]])-1,1)="","",INDEX(part4_functional,ROW(part4_fweakness[[#This Row],[uniquepersonnelid]])-1,1)))</f>
        <v/>
      </c>
      <c r="G20" t="str" cm="1">
        <f t="array" ref="G20">IF(part4_fweakness[[#This Row],[functional_weakness]]="","",IF(INDEX(part4_functional,ROW(part4_fweakness[[#This Row],[uniquepersonnelid]])-1,2)="","",INDEX(part4_functional,ROW(part4_fweakness[[#This Row],[uniquepersonnelid]])-1,2)))</f>
        <v/>
      </c>
      <c r="H20" t="str" cm="1">
        <f t="array" ref="H20">IF(part4_fweakness[[#This Row],[functional_weakness]]="","",IF(INDEX(part4_functional,ROW(part4_fweakness[[#This Row],[uniquepersonnelid]])-1,3)="","",INDEX(part4_functional,ROW(part4_fweakness[[#This Row],[uniquepersonnelid]])-1,3)))</f>
        <v/>
      </c>
      <c r="I20" t="str" cm="1">
        <f t="array" ref="I20">IF(part4_fweakness[[#This Row],[functional_weakness]]="","",IF(INDEX(part4_functional,ROW(part4_fweakness[[#This Row],[uniquepersonnelid]])-1,4)="","",INDEX(part4_functional,ROW(part4_fweakness[[#This Row],[uniquepersonnelid]])-1,4)))</f>
        <v/>
      </c>
    </row>
    <row r="21" spans="1:9" x14ac:dyDescent="0.25">
      <c r="A21" t="str" cm="1">
        <f t="array" ref="A21">IF(part4_fweakness[[#This Row],[functional_weakness]]="","",demographics[uniquepersonnelid])</f>
        <v/>
      </c>
      <c r="B21" t="str">
        <f>IF(part4_fweakness[[#This Row],[functional_weakness]]="","","SY "&amp;sy_start&amp;"-"&amp;sy_end)</f>
        <v/>
      </c>
      <c r="C21" t="str">
        <f>IF(part4_fweakness[[#This Row],[functional_weakness]]="","",career_stage)</f>
        <v/>
      </c>
      <c r="D21" t="str">
        <f>IF(part4_fweakness[[#This Row],[functional_weakness]]="","",teacher_type)</f>
        <v/>
      </c>
      <c r="E21" t="str" cm="1">
        <f t="array" ref="E21">IF(COUNTA(part4_functional_weakness)&gt;=ROW(part4_fweakness[[#This Row],[uniquepersonnelid]])-1,INDEX(part4_functional_weakness,ROW(part4_fweakness[[#This Row],[uniquepersonnelid]])-1,1),"")</f>
        <v/>
      </c>
      <c r="F21" t="str" cm="1">
        <f t="array" ref="F21">IF(part4_fweakness[[#This Row],[functional_weakness]]="","",IF(INDEX(part4_functional,ROW(part4_fweakness[[#This Row],[uniquepersonnelid]])-1,1)="","",INDEX(part4_functional,ROW(part4_fweakness[[#This Row],[uniquepersonnelid]])-1,1)))</f>
        <v/>
      </c>
      <c r="G21" t="str" cm="1">
        <f t="array" ref="G21">IF(part4_fweakness[[#This Row],[functional_weakness]]="","",IF(INDEX(part4_functional,ROW(part4_fweakness[[#This Row],[uniquepersonnelid]])-1,2)="","",INDEX(part4_functional,ROW(part4_fweakness[[#This Row],[uniquepersonnelid]])-1,2)))</f>
        <v/>
      </c>
      <c r="H21" t="str" cm="1">
        <f t="array" ref="H21">IF(part4_fweakness[[#This Row],[functional_weakness]]="","",IF(INDEX(part4_functional,ROW(part4_fweakness[[#This Row],[uniquepersonnelid]])-1,3)="","",INDEX(part4_functional,ROW(part4_fweakness[[#This Row],[uniquepersonnelid]])-1,3)))</f>
        <v/>
      </c>
      <c r="I21" t="str" cm="1">
        <f t="array" ref="I21">IF(part4_fweakness[[#This Row],[functional_weakness]]="","",IF(INDEX(part4_functional,ROW(part4_fweakness[[#This Row],[uniquepersonnelid]])-1,4)="","",INDEX(part4_functional,ROW(part4_fweakness[[#This Row],[uniquepersonnelid]])-1,4)))</f>
        <v/>
      </c>
    </row>
    <row r="22" spans="1:9" x14ac:dyDescent="0.25">
      <c r="A22" t="str" cm="1">
        <f t="array" ref="A22">IF(part4_fweakness[[#This Row],[functional_weakness]]="","",demographics[uniquepersonnelid])</f>
        <v/>
      </c>
      <c r="B22" t="str">
        <f>IF(part4_fweakness[[#This Row],[functional_weakness]]="","","SY "&amp;sy_start&amp;"-"&amp;sy_end)</f>
        <v/>
      </c>
      <c r="C22" t="str">
        <f>IF(part4_fweakness[[#This Row],[functional_weakness]]="","",career_stage)</f>
        <v/>
      </c>
      <c r="D22" t="str">
        <f>IF(part4_fweakness[[#This Row],[functional_weakness]]="","",teacher_type)</f>
        <v/>
      </c>
      <c r="E22" t="str" cm="1">
        <f t="array" ref="E22">IF(COUNTA(part4_functional_weakness)&gt;=ROW(part4_fweakness[[#This Row],[uniquepersonnelid]])-1,INDEX(part4_functional_weakness,ROW(part4_fweakness[[#This Row],[uniquepersonnelid]])-1,1),"")</f>
        <v/>
      </c>
      <c r="F22" t="str" cm="1">
        <f t="array" ref="F22">IF(part4_fweakness[[#This Row],[functional_weakness]]="","",IF(INDEX(part4_functional,ROW(part4_fweakness[[#This Row],[uniquepersonnelid]])-1,1)="","",INDEX(part4_functional,ROW(part4_fweakness[[#This Row],[uniquepersonnelid]])-1,1)))</f>
        <v/>
      </c>
      <c r="G22" t="str" cm="1">
        <f t="array" ref="G22">IF(part4_fweakness[[#This Row],[functional_weakness]]="","",IF(INDEX(part4_functional,ROW(part4_fweakness[[#This Row],[uniquepersonnelid]])-1,2)="","",INDEX(part4_functional,ROW(part4_fweakness[[#This Row],[uniquepersonnelid]])-1,2)))</f>
        <v/>
      </c>
      <c r="H22" t="str" cm="1">
        <f t="array" ref="H22">IF(part4_fweakness[[#This Row],[functional_weakness]]="","",IF(INDEX(part4_functional,ROW(part4_fweakness[[#This Row],[uniquepersonnelid]])-1,3)="","",INDEX(part4_functional,ROW(part4_fweakness[[#This Row],[uniquepersonnelid]])-1,3)))</f>
        <v/>
      </c>
      <c r="I22" t="str" cm="1">
        <f t="array" ref="I22">IF(part4_fweakness[[#This Row],[functional_weakness]]="","",IF(INDEX(part4_functional,ROW(part4_fweakness[[#This Row],[uniquepersonnelid]])-1,4)="","",INDEX(part4_functional,ROW(part4_fweakness[[#This Row],[uniquepersonnelid]])-1,4)))</f>
        <v/>
      </c>
    </row>
    <row r="23" spans="1:9" x14ac:dyDescent="0.25">
      <c r="A23" t="str" cm="1">
        <f t="array" ref="A23">IF(part4_fweakness[[#This Row],[functional_weakness]]="","",demographics[uniquepersonnelid])</f>
        <v/>
      </c>
      <c r="B23" t="str">
        <f>IF(part4_fweakness[[#This Row],[functional_weakness]]="","","SY "&amp;sy_start&amp;"-"&amp;sy_end)</f>
        <v/>
      </c>
      <c r="C23" t="str">
        <f>IF(part4_fweakness[[#This Row],[functional_weakness]]="","",career_stage)</f>
        <v/>
      </c>
      <c r="D23" t="str">
        <f>IF(part4_fweakness[[#This Row],[functional_weakness]]="","",teacher_type)</f>
        <v/>
      </c>
      <c r="E23" t="str" cm="1">
        <f t="array" ref="E23">IF(COUNTA(part4_functional_weakness)&gt;=ROW(part4_fweakness[[#This Row],[uniquepersonnelid]])-1,INDEX(part4_functional_weakness,ROW(part4_fweakness[[#This Row],[uniquepersonnelid]])-1,1),"")</f>
        <v/>
      </c>
      <c r="F23" t="str" cm="1">
        <f t="array" ref="F23">IF(part4_fweakness[[#This Row],[functional_weakness]]="","",IF(INDEX(part4_functional,ROW(part4_fweakness[[#This Row],[uniquepersonnelid]])-1,1)="","",INDEX(part4_functional,ROW(part4_fweakness[[#This Row],[uniquepersonnelid]])-1,1)))</f>
        <v/>
      </c>
      <c r="G23" t="str" cm="1">
        <f t="array" ref="G23">IF(part4_fweakness[[#This Row],[functional_weakness]]="","",IF(INDEX(part4_functional,ROW(part4_fweakness[[#This Row],[uniquepersonnelid]])-1,2)="","",INDEX(part4_functional,ROW(part4_fweakness[[#This Row],[uniquepersonnelid]])-1,2)))</f>
        <v/>
      </c>
      <c r="H23" t="str" cm="1">
        <f t="array" ref="H23">IF(part4_fweakness[[#This Row],[functional_weakness]]="","",IF(INDEX(part4_functional,ROW(part4_fweakness[[#This Row],[uniquepersonnelid]])-1,3)="","",INDEX(part4_functional,ROW(part4_fweakness[[#This Row],[uniquepersonnelid]])-1,3)))</f>
        <v/>
      </c>
      <c r="I23" t="str" cm="1">
        <f t="array" ref="I23">IF(part4_fweakness[[#This Row],[functional_weakness]]="","",IF(INDEX(part4_functional,ROW(part4_fweakness[[#This Row],[uniquepersonnelid]])-1,4)="","",INDEX(part4_functional,ROW(part4_fweakness[[#This Row],[uniquepersonnelid]])-1,4)))</f>
        <v/>
      </c>
    </row>
    <row r="24" spans="1:9" x14ac:dyDescent="0.25">
      <c r="A24" t="str" cm="1">
        <f t="array" ref="A24">IF(part4_fweakness[[#This Row],[functional_weakness]]="","",demographics[uniquepersonnelid])</f>
        <v/>
      </c>
      <c r="B24" t="str">
        <f>IF(part4_fweakness[[#This Row],[functional_weakness]]="","","SY "&amp;sy_start&amp;"-"&amp;sy_end)</f>
        <v/>
      </c>
      <c r="C24" t="str">
        <f>IF(part4_fweakness[[#This Row],[functional_weakness]]="","",career_stage)</f>
        <v/>
      </c>
      <c r="D24" t="str">
        <f>IF(part4_fweakness[[#This Row],[functional_weakness]]="","",teacher_type)</f>
        <v/>
      </c>
      <c r="E24" t="str" cm="1">
        <f t="array" ref="E24">IF(COUNTA(part4_functional_weakness)&gt;=ROW(part4_fweakness[[#This Row],[uniquepersonnelid]])-1,INDEX(part4_functional_weakness,ROW(part4_fweakness[[#This Row],[uniquepersonnelid]])-1,1),"")</f>
        <v/>
      </c>
      <c r="F24" t="str" cm="1">
        <f t="array" ref="F24">IF(part4_fweakness[[#This Row],[functional_weakness]]="","",IF(INDEX(part4_functional,ROW(part4_fweakness[[#This Row],[uniquepersonnelid]])-1,1)="","",INDEX(part4_functional,ROW(part4_fweakness[[#This Row],[uniquepersonnelid]])-1,1)))</f>
        <v/>
      </c>
      <c r="G24" t="str" cm="1">
        <f t="array" ref="G24">IF(part4_fweakness[[#This Row],[functional_weakness]]="","",IF(INDEX(part4_functional,ROW(part4_fweakness[[#This Row],[uniquepersonnelid]])-1,2)="","",INDEX(part4_functional,ROW(part4_fweakness[[#This Row],[uniquepersonnelid]])-1,2)))</f>
        <v/>
      </c>
      <c r="H24" t="str" cm="1">
        <f t="array" ref="H24">IF(part4_fweakness[[#This Row],[functional_weakness]]="","",IF(INDEX(part4_functional,ROW(part4_fweakness[[#This Row],[uniquepersonnelid]])-1,3)="","",INDEX(part4_functional,ROW(part4_fweakness[[#This Row],[uniquepersonnelid]])-1,3)))</f>
        <v/>
      </c>
      <c r="I24" t="str" cm="1">
        <f t="array" ref="I24">IF(part4_fweakness[[#This Row],[functional_weakness]]="","",IF(INDEX(part4_functional,ROW(part4_fweakness[[#This Row],[uniquepersonnelid]])-1,4)="","",INDEX(part4_functional,ROW(part4_fweakness[[#This Row],[uniquepersonnelid]])-1,4)))</f>
        <v/>
      </c>
    </row>
    <row r="25" spans="1:9" x14ac:dyDescent="0.25">
      <c r="A25" t="str" cm="1">
        <f t="array" ref="A25">IF(part4_fweakness[[#This Row],[functional_weakness]]="","",demographics[uniquepersonnelid])</f>
        <v/>
      </c>
      <c r="B25" t="str">
        <f>IF(part4_fweakness[[#This Row],[functional_weakness]]="","","SY "&amp;sy_start&amp;"-"&amp;sy_end)</f>
        <v/>
      </c>
      <c r="C25" t="str">
        <f>IF(part4_fweakness[[#This Row],[functional_weakness]]="","",career_stage)</f>
        <v/>
      </c>
      <c r="D25" t="str">
        <f>IF(part4_fweakness[[#This Row],[functional_weakness]]="","",teacher_type)</f>
        <v/>
      </c>
      <c r="E25" t="str" cm="1">
        <f t="array" ref="E25">IF(COUNTA(part4_functional_weakness)&gt;=ROW(part4_fweakness[[#This Row],[uniquepersonnelid]])-1,INDEX(part4_functional_weakness,ROW(part4_fweakness[[#This Row],[uniquepersonnelid]])-1,1),"")</f>
        <v/>
      </c>
      <c r="F25" t="str" cm="1">
        <f t="array" ref="F25">IF(part4_fweakness[[#This Row],[functional_weakness]]="","",IF(INDEX(part4_functional,ROW(part4_fweakness[[#This Row],[uniquepersonnelid]])-1,1)="","",INDEX(part4_functional,ROW(part4_fweakness[[#This Row],[uniquepersonnelid]])-1,1)))</f>
        <v/>
      </c>
      <c r="G25" t="str" cm="1">
        <f t="array" ref="G25">IF(part4_fweakness[[#This Row],[functional_weakness]]="","",IF(INDEX(part4_functional,ROW(part4_fweakness[[#This Row],[uniquepersonnelid]])-1,2)="","",INDEX(part4_functional,ROW(part4_fweakness[[#This Row],[uniquepersonnelid]])-1,2)))</f>
        <v/>
      </c>
      <c r="H25" t="str" cm="1">
        <f t="array" ref="H25">IF(part4_fweakness[[#This Row],[functional_weakness]]="","",IF(INDEX(part4_functional,ROW(part4_fweakness[[#This Row],[uniquepersonnelid]])-1,3)="","",INDEX(part4_functional,ROW(part4_fweakness[[#This Row],[uniquepersonnelid]])-1,3)))</f>
        <v/>
      </c>
      <c r="I25" t="str" cm="1">
        <f t="array" ref="I25">IF(part4_fweakness[[#This Row],[functional_weakness]]="","",IF(INDEX(part4_functional,ROW(part4_fweakness[[#This Row],[uniquepersonnelid]])-1,4)="","",INDEX(part4_functional,ROW(part4_fweakness[[#This Row],[uniquepersonnelid]])-1,4)))</f>
        <v/>
      </c>
    </row>
    <row r="26" spans="1:9" x14ac:dyDescent="0.25">
      <c r="A26" t="str" cm="1">
        <f t="array" ref="A26">IF(part4_fweakness[[#This Row],[functional_weakness]]="","",demographics[uniquepersonnelid])</f>
        <v/>
      </c>
      <c r="B26" t="str">
        <f>IF(part4_fweakness[[#This Row],[functional_weakness]]="","","SY "&amp;sy_start&amp;"-"&amp;sy_end)</f>
        <v/>
      </c>
      <c r="C26" t="str">
        <f>IF(part4_fweakness[[#This Row],[functional_weakness]]="","",career_stage)</f>
        <v/>
      </c>
      <c r="D26" t="str">
        <f>IF(part4_fweakness[[#This Row],[functional_weakness]]="","",teacher_type)</f>
        <v/>
      </c>
      <c r="E26" t="str" cm="1">
        <f t="array" ref="E26">IF(COUNTA(part4_functional_weakness)&gt;=ROW(part4_fweakness[[#This Row],[uniquepersonnelid]])-1,INDEX(part4_functional_weakness,ROW(part4_fweakness[[#This Row],[uniquepersonnelid]])-1,1),"")</f>
        <v/>
      </c>
      <c r="F26" t="str" cm="1">
        <f t="array" ref="F26">IF(part4_fweakness[[#This Row],[functional_weakness]]="","",IF(INDEX(part4_functional,ROW(part4_fweakness[[#This Row],[uniquepersonnelid]])-1,1)="","",INDEX(part4_functional,ROW(part4_fweakness[[#This Row],[uniquepersonnelid]])-1,1)))</f>
        <v/>
      </c>
      <c r="G26" t="str" cm="1">
        <f t="array" ref="G26">IF(part4_fweakness[[#This Row],[functional_weakness]]="","",IF(INDEX(part4_functional,ROW(part4_fweakness[[#This Row],[uniquepersonnelid]])-1,2)="","",INDEX(part4_functional,ROW(part4_fweakness[[#This Row],[uniquepersonnelid]])-1,2)))</f>
        <v/>
      </c>
      <c r="H26" t="str" cm="1">
        <f t="array" ref="H26">IF(part4_fweakness[[#This Row],[functional_weakness]]="","",IF(INDEX(part4_functional,ROW(part4_fweakness[[#This Row],[uniquepersonnelid]])-1,3)="","",INDEX(part4_functional,ROW(part4_fweakness[[#This Row],[uniquepersonnelid]])-1,3)))</f>
        <v/>
      </c>
      <c r="I26" t="str" cm="1">
        <f t="array" ref="I26">IF(part4_fweakness[[#This Row],[functional_weakness]]="","",IF(INDEX(part4_functional,ROW(part4_fweakness[[#This Row],[uniquepersonnelid]])-1,4)="","",INDEX(part4_functional,ROW(part4_fweakness[[#This Row],[uniquepersonnelid]])-1,4)))</f>
        <v/>
      </c>
    </row>
    <row r="27" spans="1:9" x14ac:dyDescent="0.25">
      <c r="A27" t="str" cm="1">
        <f t="array" ref="A27">IF(part4_fweakness[[#This Row],[functional_weakness]]="","",demographics[uniquepersonnelid])</f>
        <v/>
      </c>
      <c r="B27" t="str">
        <f>IF(part4_fweakness[[#This Row],[functional_weakness]]="","","SY "&amp;sy_start&amp;"-"&amp;sy_end)</f>
        <v/>
      </c>
      <c r="C27" t="str">
        <f>IF(part4_fweakness[[#This Row],[functional_weakness]]="","",career_stage)</f>
        <v/>
      </c>
      <c r="D27" t="str">
        <f>IF(part4_fweakness[[#This Row],[functional_weakness]]="","",teacher_type)</f>
        <v/>
      </c>
      <c r="E27" t="str" cm="1">
        <f t="array" ref="E27">IF(COUNTA(part4_functional_weakness)&gt;=ROW(part4_fweakness[[#This Row],[uniquepersonnelid]])-1,INDEX(part4_functional_weakness,ROW(part4_fweakness[[#This Row],[uniquepersonnelid]])-1,1),"")</f>
        <v/>
      </c>
      <c r="F27" t="str" cm="1">
        <f t="array" ref="F27">IF(part4_fweakness[[#This Row],[functional_weakness]]="","",IF(INDEX(part4_functional,ROW(part4_fweakness[[#This Row],[uniquepersonnelid]])-1,1)="","",INDEX(part4_functional,ROW(part4_fweakness[[#This Row],[uniquepersonnelid]])-1,1)))</f>
        <v/>
      </c>
      <c r="G27" t="str" cm="1">
        <f t="array" ref="G27">IF(part4_fweakness[[#This Row],[functional_weakness]]="","",IF(INDEX(part4_functional,ROW(part4_fweakness[[#This Row],[uniquepersonnelid]])-1,2)="","",INDEX(part4_functional,ROW(part4_fweakness[[#This Row],[uniquepersonnelid]])-1,2)))</f>
        <v/>
      </c>
      <c r="H27" t="str" cm="1">
        <f t="array" ref="H27">IF(part4_fweakness[[#This Row],[functional_weakness]]="","",IF(INDEX(part4_functional,ROW(part4_fweakness[[#This Row],[uniquepersonnelid]])-1,3)="","",INDEX(part4_functional,ROW(part4_fweakness[[#This Row],[uniquepersonnelid]])-1,3)))</f>
        <v/>
      </c>
      <c r="I27" t="str" cm="1">
        <f t="array" ref="I27">IF(part4_fweakness[[#This Row],[functional_weakness]]="","",IF(INDEX(part4_functional,ROW(part4_fweakness[[#This Row],[uniquepersonnelid]])-1,4)="","",INDEX(part4_functional,ROW(part4_fweakness[[#This Row],[uniquepersonnelid]])-1,4)))</f>
        <v/>
      </c>
    </row>
    <row r="28" spans="1:9" x14ac:dyDescent="0.25">
      <c r="A28" t="str" cm="1">
        <f t="array" ref="A28">IF(part4_fweakness[[#This Row],[functional_weakness]]="","",demographics[uniquepersonnelid])</f>
        <v/>
      </c>
      <c r="B28" t="str">
        <f>IF(part4_fweakness[[#This Row],[functional_weakness]]="","","SY "&amp;sy_start&amp;"-"&amp;sy_end)</f>
        <v/>
      </c>
      <c r="C28" t="str">
        <f>IF(part4_fweakness[[#This Row],[functional_weakness]]="","",career_stage)</f>
        <v/>
      </c>
      <c r="D28" t="str">
        <f>IF(part4_fweakness[[#This Row],[functional_weakness]]="","",teacher_type)</f>
        <v/>
      </c>
      <c r="E28" t="str" cm="1">
        <f t="array" ref="E28">IF(COUNTA(part4_functional_weakness)&gt;=ROW(part4_fweakness[[#This Row],[uniquepersonnelid]])-1,INDEX(part4_functional_weakness,ROW(part4_fweakness[[#This Row],[uniquepersonnelid]])-1,1),"")</f>
        <v/>
      </c>
      <c r="F28" t="str" cm="1">
        <f t="array" ref="F28">IF(part4_fweakness[[#This Row],[functional_weakness]]="","",IF(INDEX(part4_functional,ROW(part4_fweakness[[#This Row],[uniquepersonnelid]])-1,1)="","",INDEX(part4_functional,ROW(part4_fweakness[[#This Row],[uniquepersonnelid]])-1,1)))</f>
        <v/>
      </c>
      <c r="G28" t="str" cm="1">
        <f t="array" ref="G28">IF(part4_fweakness[[#This Row],[functional_weakness]]="","",IF(INDEX(part4_functional,ROW(part4_fweakness[[#This Row],[uniquepersonnelid]])-1,2)="","",INDEX(part4_functional,ROW(part4_fweakness[[#This Row],[uniquepersonnelid]])-1,2)))</f>
        <v/>
      </c>
      <c r="H28" t="str" cm="1">
        <f t="array" ref="H28">IF(part4_fweakness[[#This Row],[functional_weakness]]="","",IF(INDEX(part4_functional,ROW(part4_fweakness[[#This Row],[uniquepersonnelid]])-1,3)="","",INDEX(part4_functional,ROW(part4_fweakness[[#This Row],[uniquepersonnelid]])-1,3)))</f>
        <v/>
      </c>
      <c r="I28" t="str" cm="1">
        <f t="array" ref="I28">IF(part4_fweakness[[#This Row],[functional_weakness]]="","",IF(INDEX(part4_functional,ROW(part4_fweakness[[#This Row],[uniquepersonnelid]])-1,4)="","",INDEX(part4_functional,ROW(part4_fweakness[[#This Row],[uniquepersonnelid]])-1,4)))</f>
        <v/>
      </c>
    </row>
    <row r="29" spans="1:9" x14ac:dyDescent="0.25">
      <c r="A29" t="str" cm="1">
        <f t="array" ref="A29">IF(part4_fweakness[[#This Row],[functional_weakness]]="","",demographics[uniquepersonnelid])</f>
        <v/>
      </c>
      <c r="B29" t="str">
        <f>IF(part4_fweakness[[#This Row],[functional_weakness]]="","","SY "&amp;sy_start&amp;"-"&amp;sy_end)</f>
        <v/>
      </c>
      <c r="C29" t="str">
        <f>IF(part4_fweakness[[#This Row],[functional_weakness]]="","",career_stage)</f>
        <v/>
      </c>
      <c r="D29" t="str">
        <f>IF(part4_fweakness[[#This Row],[functional_weakness]]="","",teacher_type)</f>
        <v/>
      </c>
      <c r="E29" t="str" cm="1">
        <f t="array" ref="E29">IF(COUNTA(part4_functional_weakness)&gt;=ROW(part4_fweakness[[#This Row],[uniquepersonnelid]])-1,INDEX(part4_functional_weakness,ROW(part4_fweakness[[#This Row],[uniquepersonnelid]])-1,1),"")</f>
        <v/>
      </c>
      <c r="F29" t="str" cm="1">
        <f t="array" ref="F29">IF(part4_fweakness[[#This Row],[functional_weakness]]="","",IF(INDEX(part4_functional,ROW(part4_fweakness[[#This Row],[uniquepersonnelid]])-1,1)="","",INDEX(part4_functional,ROW(part4_fweakness[[#This Row],[uniquepersonnelid]])-1,1)))</f>
        <v/>
      </c>
      <c r="G29" t="str" cm="1">
        <f t="array" ref="G29">IF(part4_fweakness[[#This Row],[functional_weakness]]="","",IF(INDEX(part4_functional,ROW(part4_fweakness[[#This Row],[uniquepersonnelid]])-1,2)="","",INDEX(part4_functional,ROW(part4_fweakness[[#This Row],[uniquepersonnelid]])-1,2)))</f>
        <v/>
      </c>
      <c r="H29" t="str" cm="1">
        <f t="array" ref="H29">IF(part4_fweakness[[#This Row],[functional_weakness]]="","",IF(INDEX(part4_functional,ROW(part4_fweakness[[#This Row],[uniquepersonnelid]])-1,3)="","",INDEX(part4_functional,ROW(part4_fweakness[[#This Row],[uniquepersonnelid]])-1,3)))</f>
        <v/>
      </c>
      <c r="I29" t="str" cm="1">
        <f t="array" ref="I29">IF(part4_fweakness[[#This Row],[functional_weakness]]="","",IF(INDEX(part4_functional,ROW(part4_fweakness[[#This Row],[uniquepersonnelid]])-1,4)="","",INDEX(part4_functional,ROW(part4_fweakness[[#This Row],[uniquepersonnelid]])-1,4)))</f>
        <v/>
      </c>
    </row>
    <row r="30" spans="1:9" x14ac:dyDescent="0.25">
      <c r="A30" t="str" cm="1">
        <f t="array" ref="A30">IF(part4_fweakness[[#This Row],[functional_weakness]]="","",demographics[uniquepersonnelid])</f>
        <v/>
      </c>
      <c r="B30" t="str">
        <f>IF(part4_fweakness[[#This Row],[functional_weakness]]="","","SY "&amp;sy_start&amp;"-"&amp;sy_end)</f>
        <v/>
      </c>
      <c r="C30" t="str">
        <f>IF(part4_fweakness[[#This Row],[functional_weakness]]="","",career_stage)</f>
        <v/>
      </c>
      <c r="D30" t="str">
        <f>IF(part4_fweakness[[#This Row],[functional_weakness]]="","",teacher_type)</f>
        <v/>
      </c>
      <c r="E30" t="str" cm="1">
        <f t="array" ref="E30">IF(COUNTA(part4_functional_weakness)&gt;=ROW(part4_fweakness[[#This Row],[uniquepersonnelid]])-1,INDEX(part4_functional_weakness,ROW(part4_fweakness[[#This Row],[uniquepersonnelid]])-1,1),"")</f>
        <v/>
      </c>
      <c r="F30" t="str" cm="1">
        <f t="array" ref="F30">IF(part4_fweakness[[#This Row],[functional_weakness]]="","",IF(INDEX(part4_functional,ROW(part4_fweakness[[#This Row],[uniquepersonnelid]])-1,1)="","",INDEX(part4_functional,ROW(part4_fweakness[[#This Row],[uniquepersonnelid]])-1,1)))</f>
        <v/>
      </c>
      <c r="G30" t="str" cm="1">
        <f t="array" ref="G30">IF(part4_fweakness[[#This Row],[functional_weakness]]="","",IF(INDEX(part4_functional,ROW(part4_fweakness[[#This Row],[uniquepersonnelid]])-1,2)="","",INDEX(part4_functional,ROW(part4_fweakness[[#This Row],[uniquepersonnelid]])-1,2)))</f>
        <v/>
      </c>
      <c r="H30" t="str" cm="1">
        <f t="array" ref="H30">IF(part4_fweakness[[#This Row],[functional_weakness]]="","",IF(INDEX(part4_functional,ROW(part4_fweakness[[#This Row],[uniquepersonnelid]])-1,3)="","",INDEX(part4_functional,ROW(part4_fweakness[[#This Row],[uniquepersonnelid]])-1,3)))</f>
        <v/>
      </c>
      <c r="I30" t="str" cm="1">
        <f t="array" ref="I30">IF(part4_fweakness[[#This Row],[functional_weakness]]="","",IF(INDEX(part4_functional,ROW(part4_fweakness[[#This Row],[uniquepersonnelid]])-1,4)="","",INDEX(part4_functional,ROW(part4_fweakness[[#This Row],[uniquepersonnelid]])-1,4)))</f>
        <v/>
      </c>
    </row>
    <row r="31" spans="1:9" x14ac:dyDescent="0.25">
      <c r="A31" t="str" cm="1">
        <f t="array" ref="A31">IF(part4_fweakness[[#This Row],[functional_weakness]]="","",demographics[uniquepersonnelid])</f>
        <v/>
      </c>
      <c r="B31" t="str">
        <f>IF(part4_fweakness[[#This Row],[functional_weakness]]="","","SY "&amp;sy_start&amp;"-"&amp;sy_end)</f>
        <v/>
      </c>
      <c r="C31" t="str">
        <f>IF(part4_fweakness[[#This Row],[functional_weakness]]="","",career_stage)</f>
        <v/>
      </c>
      <c r="D31" t="str">
        <f>IF(part4_fweakness[[#This Row],[functional_weakness]]="","",teacher_type)</f>
        <v/>
      </c>
      <c r="E31" t="str" cm="1">
        <f t="array" ref="E31">IF(COUNTA(part4_functional_weakness)&gt;=ROW(part4_fweakness[[#This Row],[uniquepersonnelid]])-1,INDEX(part4_functional_weakness,ROW(part4_fweakness[[#This Row],[uniquepersonnelid]])-1,1),"")</f>
        <v/>
      </c>
      <c r="F31" t="str" cm="1">
        <f t="array" ref="F31">IF(part4_fweakness[[#This Row],[functional_weakness]]="","",IF(INDEX(part4_functional,ROW(part4_fweakness[[#This Row],[uniquepersonnelid]])-1,1)="","",INDEX(part4_functional,ROW(part4_fweakness[[#This Row],[uniquepersonnelid]])-1,1)))</f>
        <v/>
      </c>
      <c r="G31" t="str" cm="1">
        <f t="array" ref="G31">IF(part4_fweakness[[#This Row],[functional_weakness]]="","",IF(INDEX(part4_functional,ROW(part4_fweakness[[#This Row],[uniquepersonnelid]])-1,2)="","",INDEX(part4_functional,ROW(part4_fweakness[[#This Row],[uniquepersonnelid]])-1,2)))</f>
        <v/>
      </c>
      <c r="H31" t="str" cm="1">
        <f t="array" ref="H31">IF(part4_fweakness[[#This Row],[functional_weakness]]="","",IF(INDEX(part4_functional,ROW(part4_fweakness[[#This Row],[uniquepersonnelid]])-1,3)="","",INDEX(part4_functional,ROW(part4_fweakness[[#This Row],[uniquepersonnelid]])-1,3)))</f>
        <v/>
      </c>
      <c r="I31" t="str" cm="1">
        <f t="array" ref="I31">IF(part4_fweakness[[#This Row],[functional_weakness]]="","",IF(INDEX(part4_functional,ROW(part4_fweakness[[#This Row],[uniquepersonnelid]])-1,4)="","",INDEX(part4_functional,ROW(part4_fweakness[[#This Row],[uniquepersonnelid]])-1,4)))</f>
        <v/>
      </c>
    </row>
    <row r="32" spans="1:9" x14ac:dyDescent="0.25">
      <c r="A32" t="str" cm="1">
        <f t="array" ref="A32">IF(part4_fweakness[[#This Row],[functional_weakness]]="","",demographics[uniquepersonnelid])</f>
        <v/>
      </c>
      <c r="B32" t="str">
        <f>IF(part4_fweakness[[#This Row],[functional_weakness]]="","","SY "&amp;sy_start&amp;"-"&amp;sy_end)</f>
        <v/>
      </c>
      <c r="C32" t="str">
        <f>IF(part4_fweakness[[#This Row],[functional_weakness]]="","",career_stage)</f>
        <v/>
      </c>
      <c r="D32" t="str">
        <f>IF(part4_fweakness[[#This Row],[functional_weakness]]="","",teacher_type)</f>
        <v/>
      </c>
      <c r="E32" t="str" cm="1">
        <f t="array" ref="E32">IF(COUNTA(part4_functional_weakness)&gt;=ROW(part4_fweakness[[#This Row],[uniquepersonnelid]])-1,INDEX(part4_functional_weakness,ROW(part4_fweakness[[#This Row],[uniquepersonnelid]])-1,1),"")</f>
        <v/>
      </c>
      <c r="F32" t="str" cm="1">
        <f t="array" ref="F32">IF(part4_fweakness[[#This Row],[functional_weakness]]="","",IF(INDEX(part4_functional,ROW(part4_fweakness[[#This Row],[uniquepersonnelid]])-1,1)="","",INDEX(part4_functional,ROW(part4_fweakness[[#This Row],[uniquepersonnelid]])-1,1)))</f>
        <v/>
      </c>
      <c r="G32" t="str" cm="1">
        <f t="array" ref="G32">IF(part4_fweakness[[#This Row],[functional_weakness]]="","",IF(INDEX(part4_functional,ROW(part4_fweakness[[#This Row],[uniquepersonnelid]])-1,2)="","",INDEX(part4_functional,ROW(part4_fweakness[[#This Row],[uniquepersonnelid]])-1,2)))</f>
        <v/>
      </c>
      <c r="H32" t="str" cm="1">
        <f t="array" ref="H32">IF(part4_fweakness[[#This Row],[functional_weakness]]="","",IF(INDEX(part4_functional,ROW(part4_fweakness[[#This Row],[uniquepersonnelid]])-1,3)="","",INDEX(part4_functional,ROW(part4_fweakness[[#This Row],[uniquepersonnelid]])-1,3)))</f>
        <v/>
      </c>
      <c r="I32" t="str" cm="1">
        <f t="array" ref="I32">IF(part4_fweakness[[#This Row],[functional_weakness]]="","",IF(INDEX(part4_functional,ROW(part4_fweakness[[#This Row],[uniquepersonnelid]])-1,4)="","",INDEX(part4_functional,ROW(part4_fweakness[[#This Row],[uniquepersonnelid]])-1,4)))</f>
        <v/>
      </c>
    </row>
    <row r="33" spans="1:9" x14ac:dyDescent="0.25">
      <c r="A33" t="str" cm="1">
        <f t="array" ref="A33">IF(part4_fweakness[[#This Row],[functional_weakness]]="","",demographics[uniquepersonnelid])</f>
        <v/>
      </c>
      <c r="B33" t="str">
        <f>IF(part4_fweakness[[#This Row],[functional_weakness]]="","","SY "&amp;sy_start&amp;"-"&amp;sy_end)</f>
        <v/>
      </c>
      <c r="C33" t="str">
        <f>IF(part4_fweakness[[#This Row],[functional_weakness]]="","",career_stage)</f>
        <v/>
      </c>
      <c r="D33" t="str">
        <f>IF(part4_fweakness[[#This Row],[functional_weakness]]="","",teacher_type)</f>
        <v/>
      </c>
      <c r="E33" t="str" cm="1">
        <f t="array" ref="E33">IF(COUNTA(part4_functional_weakness)&gt;=ROW(part4_fweakness[[#This Row],[uniquepersonnelid]])-1,INDEX(part4_functional_weakness,ROW(part4_fweakness[[#This Row],[uniquepersonnelid]])-1,1),"")</f>
        <v/>
      </c>
      <c r="F33" t="str" cm="1">
        <f t="array" ref="F33">IF(part4_fweakness[[#This Row],[functional_weakness]]="","",IF(INDEX(part4_functional,ROW(part4_fweakness[[#This Row],[uniquepersonnelid]])-1,1)="","",INDEX(part4_functional,ROW(part4_fweakness[[#This Row],[uniquepersonnelid]])-1,1)))</f>
        <v/>
      </c>
      <c r="G33" t="str" cm="1">
        <f t="array" ref="G33">IF(part4_fweakness[[#This Row],[functional_weakness]]="","",IF(INDEX(part4_functional,ROW(part4_fweakness[[#This Row],[uniquepersonnelid]])-1,2)="","",INDEX(part4_functional,ROW(part4_fweakness[[#This Row],[uniquepersonnelid]])-1,2)))</f>
        <v/>
      </c>
      <c r="H33" t="str" cm="1">
        <f t="array" ref="H33">IF(part4_fweakness[[#This Row],[functional_weakness]]="","",IF(INDEX(part4_functional,ROW(part4_fweakness[[#This Row],[uniquepersonnelid]])-1,3)="","",INDEX(part4_functional,ROW(part4_fweakness[[#This Row],[uniquepersonnelid]])-1,3)))</f>
        <v/>
      </c>
      <c r="I33" t="str" cm="1">
        <f t="array" ref="I33">IF(part4_fweakness[[#This Row],[functional_weakness]]="","",IF(INDEX(part4_functional,ROW(part4_fweakness[[#This Row],[uniquepersonnelid]])-1,4)="","",INDEX(part4_functional,ROW(part4_fweakness[[#This Row],[uniquepersonnelid]])-1,4)))</f>
        <v/>
      </c>
    </row>
    <row r="34" spans="1:9" x14ac:dyDescent="0.25">
      <c r="A34" t="str" cm="1">
        <f t="array" ref="A34">IF(part4_fweakness[[#This Row],[functional_weakness]]="","",demographics[uniquepersonnelid])</f>
        <v/>
      </c>
      <c r="B34" t="str">
        <f>IF(part4_fweakness[[#This Row],[functional_weakness]]="","","SY "&amp;sy_start&amp;"-"&amp;sy_end)</f>
        <v/>
      </c>
      <c r="C34" t="str">
        <f>IF(part4_fweakness[[#This Row],[functional_weakness]]="","",career_stage)</f>
        <v/>
      </c>
      <c r="D34" t="str">
        <f>IF(part4_fweakness[[#This Row],[functional_weakness]]="","",teacher_type)</f>
        <v/>
      </c>
      <c r="E34" t="str" cm="1">
        <f t="array" ref="E34">IF(COUNTA(part4_functional_weakness)&gt;=ROW(part4_fweakness[[#This Row],[uniquepersonnelid]])-1,INDEX(part4_functional_weakness,ROW(part4_fweakness[[#This Row],[uniquepersonnelid]])-1,1),"")</f>
        <v/>
      </c>
      <c r="F34" t="str" cm="1">
        <f t="array" ref="F34">IF(part4_fweakness[[#This Row],[functional_weakness]]="","",IF(INDEX(part4_functional,ROW(part4_fweakness[[#This Row],[uniquepersonnelid]])-1,1)="","",INDEX(part4_functional,ROW(part4_fweakness[[#This Row],[uniquepersonnelid]])-1,1)))</f>
        <v/>
      </c>
      <c r="G34" t="str" cm="1">
        <f t="array" ref="G34">IF(part4_fweakness[[#This Row],[functional_weakness]]="","",IF(INDEX(part4_functional,ROW(part4_fweakness[[#This Row],[uniquepersonnelid]])-1,2)="","",INDEX(part4_functional,ROW(part4_fweakness[[#This Row],[uniquepersonnelid]])-1,2)))</f>
        <v/>
      </c>
      <c r="H34" t="str" cm="1">
        <f t="array" ref="H34">IF(part4_fweakness[[#This Row],[functional_weakness]]="","",IF(INDEX(part4_functional,ROW(part4_fweakness[[#This Row],[uniquepersonnelid]])-1,3)="","",INDEX(part4_functional,ROW(part4_fweakness[[#This Row],[uniquepersonnelid]])-1,3)))</f>
        <v/>
      </c>
      <c r="I34" t="str" cm="1">
        <f t="array" ref="I34">IF(part4_fweakness[[#This Row],[functional_weakness]]="","",IF(INDEX(part4_functional,ROW(part4_fweakness[[#This Row],[uniquepersonnelid]])-1,4)="","",INDEX(part4_functional,ROW(part4_fweakness[[#This Row],[uniquepersonnelid]])-1,4)))</f>
        <v/>
      </c>
    </row>
    <row r="35" spans="1:9" x14ac:dyDescent="0.25">
      <c r="A35" t="str" cm="1">
        <f t="array" ref="A35">IF(part4_fweakness[[#This Row],[functional_weakness]]="","",demographics[uniquepersonnelid])</f>
        <v/>
      </c>
      <c r="B35" t="str">
        <f>IF(part4_fweakness[[#This Row],[functional_weakness]]="","","SY "&amp;sy_start&amp;"-"&amp;sy_end)</f>
        <v/>
      </c>
      <c r="C35" t="str">
        <f>IF(part4_fweakness[[#This Row],[functional_weakness]]="","",career_stage)</f>
        <v/>
      </c>
      <c r="D35" t="str">
        <f>IF(part4_fweakness[[#This Row],[functional_weakness]]="","",teacher_type)</f>
        <v/>
      </c>
      <c r="E35" t="str" cm="1">
        <f t="array" ref="E35">IF(COUNTA(part4_functional_weakness)&gt;=ROW(part4_fweakness[[#This Row],[uniquepersonnelid]])-1,INDEX(part4_functional_weakness,ROW(part4_fweakness[[#This Row],[uniquepersonnelid]])-1,1),"")</f>
        <v/>
      </c>
      <c r="F35" t="str" cm="1">
        <f t="array" ref="F35">IF(part4_fweakness[[#This Row],[functional_weakness]]="","",IF(INDEX(part4_functional,ROW(part4_fweakness[[#This Row],[uniquepersonnelid]])-1,1)="","",INDEX(part4_functional,ROW(part4_fweakness[[#This Row],[uniquepersonnelid]])-1,1)))</f>
        <v/>
      </c>
      <c r="G35" t="str" cm="1">
        <f t="array" ref="G35">IF(part4_fweakness[[#This Row],[functional_weakness]]="","",IF(INDEX(part4_functional,ROW(part4_fweakness[[#This Row],[uniquepersonnelid]])-1,2)="","",INDEX(part4_functional,ROW(part4_fweakness[[#This Row],[uniquepersonnelid]])-1,2)))</f>
        <v/>
      </c>
      <c r="H35" t="str" cm="1">
        <f t="array" ref="H35">IF(part4_fweakness[[#This Row],[functional_weakness]]="","",IF(INDEX(part4_functional,ROW(part4_fweakness[[#This Row],[uniquepersonnelid]])-1,3)="","",INDEX(part4_functional,ROW(part4_fweakness[[#This Row],[uniquepersonnelid]])-1,3)))</f>
        <v/>
      </c>
      <c r="I35" t="str" cm="1">
        <f t="array" ref="I35">IF(part4_fweakness[[#This Row],[functional_weakness]]="","",IF(INDEX(part4_functional,ROW(part4_fweakness[[#This Row],[uniquepersonnelid]])-1,4)="","",INDEX(part4_functional,ROW(part4_fweakness[[#This Row],[uniquepersonnelid]])-1,4)))</f>
        <v/>
      </c>
    </row>
    <row r="36" spans="1:9" x14ac:dyDescent="0.25">
      <c r="A36" t="str" cm="1">
        <f t="array" ref="A36">IF(part4_fweakness[[#This Row],[functional_weakness]]="","",demographics[uniquepersonnelid])</f>
        <v/>
      </c>
      <c r="B36" t="str">
        <f>IF(part4_fweakness[[#This Row],[functional_weakness]]="","","SY "&amp;sy_start&amp;"-"&amp;sy_end)</f>
        <v/>
      </c>
      <c r="C36" t="str">
        <f>IF(part4_fweakness[[#This Row],[functional_weakness]]="","",career_stage)</f>
        <v/>
      </c>
      <c r="D36" t="str">
        <f>IF(part4_fweakness[[#This Row],[functional_weakness]]="","",teacher_type)</f>
        <v/>
      </c>
      <c r="E36" t="str" cm="1">
        <f t="array" ref="E36">IF(COUNTA(part4_functional_weakness)&gt;=ROW(part4_fweakness[[#This Row],[uniquepersonnelid]])-1,INDEX(part4_functional_weakness,ROW(part4_fweakness[[#This Row],[uniquepersonnelid]])-1,1),"")</f>
        <v/>
      </c>
      <c r="F36" t="str" cm="1">
        <f t="array" ref="F36">IF(part4_fweakness[[#This Row],[functional_weakness]]="","",IF(INDEX(part4_functional,ROW(part4_fweakness[[#This Row],[uniquepersonnelid]])-1,1)="","",INDEX(part4_functional,ROW(part4_fweakness[[#This Row],[uniquepersonnelid]])-1,1)))</f>
        <v/>
      </c>
      <c r="G36" t="str" cm="1">
        <f t="array" ref="G36">IF(part4_fweakness[[#This Row],[functional_weakness]]="","",IF(INDEX(part4_functional,ROW(part4_fweakness[[#This Row],[uniquepersonnelid]])-1,2)="","",INDEX(part4_functional,ROW(part4_fweakness[[#This Row],[uniquepersonnelid]])-1,2)))</f>
        <v/>
      </c>
      <c r="H36" t="str" cm="1">
        <f t="array" ref="H36">IF(part4_fweakness[[#This Row],[functional_weakness]]="","",IF(INDEX(part4_functional,ROW(part4_fweakness[[#This Row],[uniquepersonnelid]])-1,3)="","",INDEX(part4_functional,ROW(part4_fweakness[[#This Row],[uniquepersonnelid]])-1,3)))</f>
        <v/>
      </c>
      <c r="I36" t="str" cm="1">
        <f t="array" ref="I36">IF(part4_fweakness[[#This Row],[functional_weakness]]="","",IF(INDEX(part4_functional,ROW(part4_fweakness[[#This Row],[uniquepersonnelid]])-1,4)="","",INDEX(part4_functional,ROW(part4_fweakness[[#This Row],[uniquepersonnelid]])-1,4)))</f>
        <v/>
      </c>
    </row>
    <row r="37" spans="1:9" x14ac:dyDescent="0.25">
      <c r="A37" t="str" cm="1">
        <f t="array" ref="A37">IF(part4_fweakness[[#This Row],[functional_weakness]]="","",demographics[uniquepersonnelid])</f>
        <v/>
      </c>
      <c r="B37" t="str">
        <f>IF(part4_fweakness[[#This Row],[functional_weakness]]="","","SY "&amp;sy_start&amp;"-"&amp;sy_end)</f>
        <v/>
      </c>
      <c r="C37" t="str">
        <f>IF(part4_fweakness[[#This Row],[functional_weakness]]="","",career_stage)</f>
        <v/>
      </c>
      <c r="D37" t="str">
        <f>IF(part4_fweakness[[#This Row],[functional_weakness]]="","",teacher_type)</f>
        <v/>
      </c>
      <c r="E37" t="str" cm="1">
        <f t="array" ref="E37">IF(COUNTA(part4_functional_weakness)&gt;=ROW(part4_fweakness[[#This Row],[uniquepersonnelid]])-1,INDEX(part4_functional_weakness,ROW(part4_fweakness[[#This Row],[uniquepersonnelid]])-1,1),"")</f>
        <v/>
      </c>
      <c r="F37" t="str" cm="1">
        <f t="array" ref="F37">IF(part4_fweakness[[#This Row],[functional_weakness]]="","",IF(INDEX(part4_functional,ROW(part4_fweakness[[#This Row],[uniquepersonnelid]])-1,1)="","",INDEX(part4_functional,ROW(part4_fweakness[[#This Row],[uniquepersonnelid]])-1,1)))</f>
        <v/>
      </c>
      <c r="G37" t="str" cm="1">
        <f t="array" ref="G37">IF(part4_fweakness[[#This Row],[functional_weakness]]="","",IF(INDEX(part4_functional,ROW(part4_fweakness[[#This Row],[uniquepersonnelid]])-1,2)="","",INDEX(part4_functional,ROW(part4_fweakness[[#This Row],[uniquepersonnelid]])-1,2)))</f>
        <v/>
      </c>
      <c r="H37" t="str" cm="1">
        <f t="array" ref="H37">IF(part4_fweakness[[#This Row],[functional_weakness]]="","",IF(INDEX(part4_functional,ROW(part4_fweakness[[#This Row],[uniquepersonnelid]])-1,3)="","",INDEX(part4_functional,ROW(part4_fweakness[[#This Row],[uniquepersonnelid]])-1,3)))</f>
        <v/>
      </c>
      <c r="I37" t="str" cm="1">
        <f t="array" ref="I37">IF(part4_fweakness[[#This Row],[functional_weakness]]="","",IF(INDEX(part4_functional,ROW(part4_fweakness[[#This Row],[uniquepersonnelid]])-1,4)="","",INDEX(part4_functional,ROW(part4_fweakness[[#This Row],[uniquepersonnelid]])-1,4)))</f>
        <v/>
      </c>
    </row>
    <row r="38" spans="1:9" x14ac:dyDescent="0.25">
      <c r="A38" t="str" cm="1">
        <f t="array" ref="A38">IF(part4_fweakness[[#This Row],[functional_weakness]]="","",demographics[uniquepersonnelid])</f>
        <v/>
      </c>
      <c r="B38" t="str">
        <f>IF(part4_fweakness[[#This Row],[functional_weakness]]="","","SY "&amp;sy_start&amp;"-"&amp;sy_end)</f>
        <v/>
      </c>
      <c r="C38" t="str">
        <f>IF(part4_fweakness[[#This Row],[functional_weakness]]="","",career_stage)</f>
        <v/>
      </c>
      <c r="D38" t="str">
        <f>IF(part4_fweakness[[#This Row],[functional_weakness]]="","",teacher_type)</f>
        <v/>
      </c>
      <c r="E38" t="str" cm="1">
        <f t="array" ref="E38">IF(COUNTA(part4_functional_weakness)&gt;=ROW(part4_fweakness[[#This Row],[uniquepersonnelid]])-1,INDEX(part4_functional_weakness,ROW(part4_fweakness[[#This Row],[uniquepersonnelid]])-1,1),"")</f>
        <v/>
      </c>
      <c r="F38" t="str" cm="1">
        <f t="array" ref="F38">IF(part4_fweakness[[#This Row],[functional_weakness]]="","",IF(INDEX(part4_functional,ROW(part4_fweakness[[#This Row],[uniquepersonnelid]])-1,1)="","",INDEX(part4_functional,ROW(part4_fweakness[[#This Row],[uniquepersonnelid]])-1,1)))</f>
        <v/>
      </c>
      <c r="G38" t="str" cm="1">
        <f t="array" ref="G38">IF(part4_fweakness[[#This Row],[functional_weakness]]="","",IF(INDEX(part4_functional,ROW(part4_fweakness[[#This Row],[uniquepersonnelid]])-1,2)="","",INDEX(part4_functional,ROW(part4_fweakness[[#This Row],[uniquepersonnelid]])-1,2)))</f>
        <v/>
      </c>
      <c r="H38" t="str" cm="1">
        <f t="array" ref="H38">IF(part4_fweakness[[#This Row],[functional_weakness]]="","",IF(INDEX(part4_functional,ROW(part4_fweakness[[#This Row],[uniquepersonnelid]])-1,3)="","",INDEX(part4_functional,ROW(part4_fweakness[[#This Row],[uniquepersonnelid]])-1,3)))</f>
        <v/>
      </c>
      <c r="I38" t="str" cm="1">
        <f t="array" ref="I38">IF(part4_fweakness[[#This Row],[functional_weakness]]="","",IF(INDEX(part4_functional,ROW(part4_fweakness[[#This Row],[uniquepersonnelid]])-1,4)="","",INDEX(part4_functional,ROW(part4_fweakness[[#This Row],[uniquepersonnelid]])-1,4)))</f>
        <v/>
      </c>
    </row>
    <row r="39" spans="1:9" x14ac:dyDescent="0.25">
      <c r="A39" t="str" cm="1">
        <f t="array" ref="A39">IF(part4_fweakness[[#This Row],[functional_weakness]]="","",demographics[uniquepersonnelid])</f>
        <v/>
      </c>
      <c r="B39" t="str">
        <f>IF(part4_fweakness[[#This Row],[functional_weakness]]="","","SY "&amp;sy_start&amp;"-"&amp;sy_end)</f>
        <v/>
      </c>
      <c r="C39" t="str">
        <f>IF(part4_fweakness[[#This Row],[functional_weakness]]="","",career_stage)</f>
        <v/>
      </c>
      <c r="D39" t="str">
        <f>IF(part4_fweakness[[#This Row],[functional_weakness]]="","",teacher_type)</f>
        <v/>
      </c>
      <c r="E39" t="str" cm="1">
        <f t="array" ref="E39">IF(COUNTA(part4_functional_weakness)&gt;=ROW(part4_fweakness[[#This Row],[uniquepersonnelid]])-1,INDEX(part4_functional_weakness,ROW(part4_fweakness[[#This Row],[uniquepersonnelid]])-1,1),"")</f>
        <v/>
      </c>
      <c r="F39" t="str" cm="1">
        <f t="array" ref="F39">IF(part4_fweakness[[#This Row],[functional_weakness]]="","",IF(INDEX(part4_functional,ROW(part4_fweakness[[#This Row],[uniquepersonnelid]])-1,1)="","",INDEX(part4_functional,ROW(part4_fweakness[[#This Row],[uniquepersonnelid]])-1,1)))</f>
        <v/>
      </c>
      <c r="G39" t="str" cm="1">
        <f t="array" ref="G39">IF(part4_fweakness[[#This Row],[functional_weakness]]="","",IF(INDEX(part4_functional,ROW(part4_fweakness[[#This Row],[uniquepersonnelid]])-1,2)="","",INDEX(part4_functional,ROW(part4_fweakness[[#This Row],[uniquepersonnelid]])-1,2)))</f>
        <v/>
      </c>
      <c r="H39" t="str" cm="1">
        <f t="array" ref="H39">IF(part4_fweakness[[#This Row],[functional_weakness]]="","",IF(INDEX(part4_functional,ROW(part4_fweakness[[#This Row],[uniquepersonnelid]])-1,3)="","",INDEX(part4_functional,ROW(part4_fweakness[[#This Row],[uniquepersonnelid]])-1,3)))</f>
        <v/>
      </c>
      <c r="I39" t="str" cm="1">
        <f t="array" ref="I39">IF(part4_fweakness[[#This Row],[functional_weakness]]="","",IF(INDEX(part4_functional,ROW(part4_fweakness[[#This Row],[uniquepersonnelid]])-1,4)="","",INDEX(part4_functional,ROW(part4_fweakness[[#This Row],[uniquepersonnelid]])-1,4)))</f>
        <v/>
      </c>
    </row>
  </sheetData>
  <sheetProtection algorithmName="SHA-512" hashValue="7SBcFDLI8d9TsAkblAWiiB+adJJFVK93K7p8DsAcM4fChBsU5Fn/H2Vv2fsiSQDehu15sXj+gAYyWcR4hFOtmQ==" saltValue="7nF+bBXZXCpyDkRy0kZcYQ==" spinCount="100000" sheet="1" objects="1" scenarios="1" selectLockedCells="1" selectUnlockedCells="1"/>
  <pageMargins left="0.7" right="0.7" top="0.75" bottom="0.75" header="0.3" footer="0.3"/>
  <pageSetup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DD622-8EAA-FC4E-9177-D210EFAEDDA0}">
  <sheetPr codeName="tbl_part4_behavioral_weakness"/>
  <dimension ref="A1:I7"/>
  <sheetViews>
    <sheetView zoomScale="175" zoomScaleNormal="337" workbookViewId="0">
      <selection activeCell="L4" sqref="L4"/>
    </sheetView>
  </sheetViews>
  <sheetFormatPr defaultColWidth="8.85546875" defaultRowHeight="15" x14ac:dyDescent="0.25"/>
  <cols>
    <col min="1" max="1" width="23.85546875" customWidth="1"/>
    <col min="2" max="2" width="14.140625" bestFit="1" customWidth="1"/>
    <col min="3" max="3" width="12" customWidth="1"/>
    <col min="4" max="4" width="13" customWidth="1"/>
    <col min="5" max="5" width="10.28515625" customWidth="1"/>
  </cols>
  <sheetData>
    <row r="1" spans="1:9" x14ac:dyDescent="0.25">
      <c r="A1" t="s">
        <v>23</v>
      </c>
      <c r="B1" t="s">
        <v>5</v>
      </c>
      <c r="C1" t="s">
        <v>7</v>
      </c>
      <c r="D1" t="s">
        <v>6</v>
      </c>
      <c r="E1" t="s">
        <v>109</v>
      </c>
      <c r="F1" t="s">
        <v>105</v>
      </c>
      <c r="G1" t="s">
        <v>106</v>
      </c>
      <c r="H1" t="s">
        <v>107</v>
      </c>
      <c r="I1" t="s">
        <v>108</v>
      </c>
    </row>
    <row r="2" spans="1:9" x14ac:dyDescent="0.25">
      <c r="A2" t="str" cm="1">
        <f t="array" aca="1" ref="A2" ca="1">IF(part4_bweakness[[#This Row],[behavioral_weakness]]="","",demographics[uniquepersonnelid])</f>
        <v>REG4A-01-301418-4363744</v>
      </c>
      <c r="B2" t="str">
        <f>IF(part4_bweakness[[#This Row],[behavioral_weakness]]="","","SY "&amp;sy_start&amp;"-"&amp;sy_end)</f>
        <v>SY 2023-2024</v>
      </c>
      <c r="C2" t="str">
        <f>IF(part4_bweakness[[#This Row],[behavioral_weakness]]="","",career_stage)</f>
        <v>P</v>
      </c>
      <c r="D2" t="str">
        <f>IF(part4_bweakness[[#This Row],[behavioral_weakness]]="","",teacher_type)</f>
        <v>R</v>
      </c>
      <c r="E2" t="str" cm="1">
        <f t="array" ref="E2">IF(COUNTA(part4_behavioral_weakness)&gt;=ROW(part4_bweakness[[#This Row],[uniquepersonnelid]])-1,INDEX(part4_behavioral_weakness,ROW(part4_bweakness[[#This Row],[uniquepersonnelid]])-1,1),"")</f>
        <v>Professionalism and Ethics</v>
      </c>
      <c r="F2" t="str" cm="1">
        <f t="array" ref="F2">IF(part4_bweakness[[#This Row],[behavioral_weakness]]="","",IF(INDEX(part4_behavioral,ROW(part4_bweakness[[#This Row],[uniquepersonnelid]])-1,1)="","",INDEX(part4_behavioral,ROW(part4_bweakness[[#This Row],[uniquepersonnelid]])-1,1)))</f>
        <v/>
      </c>
      <c r="G2" t="str" cm="1">
        <f t="array" ref="G2">IF(part4_bweakness[[#This Row],[behavioral_weakness]]="","",IF(INDEX(part4_behavioral,ROW(part4_bweakness[[#This Row],[uniquepersonnelid]])-1,2)="","",INDEX(part4_behavioral,ROW(part4_bweakness[[#This Row],[uniquepersonnelid]])-1,2)))</f>
        <v/>
      </c>
      <c r="H2" t="str" cm="1">
        <f t="array" ref="H2">IF(part4_bweakness[[#This Row],[behavioral_weakness]]="","",IF(INDEX(part4_behavioral,ROW(part4_bweakness[[#This Row],[uniquepersonnelid]])-1,3)="","",INDEX(part4_behavioral,ROW(part4_bweakness[[#This Row],[uniquepersonnelid]])-1,3)))</f>
        <v/>
      </c>
      <c r="I2" t="str" cm="1">
        <f t="array" ref="I2">IF(part4_bweakness[[#This Row],[behavioral_weakness]]="","",IF(INDEX(part4_behavioral,ROW(part4_bweakness[[#This Row],[uniquepersonnelid]])-1,4)="","",INDEX(part4_behavioral,ROW(part4_bweakness[[#This Row],[uniquepersonnelid]])-1,4)))</f>
        <v/>
      </c>
    </row>
    <row r="3" spans="1:9" x14ac:dyDescent="0.25">
      <c r="A3" t="str" cm="1">
        <f t="array" aca="1" ref="A3" ca="1">IF(part4_bweakness[[#This Row],[behavioral_weakness]]="","",demographics[uniquepersonnelid])</f>
        <v>REG4A-01-301418-4363744</v>
      </c>
      <c r="B3" t="str">
        <f>IF(part4_bweakness[[#This Row],[behavioral_weakness]]="","","SY "&amp;sy_start&amp;"-"&amp;sy_end)</f>
        <v>SY 2023-2024</v>
      </c>
      <c r="C3" t="str">
        <f>IF(part4_bweakness[[#This Row],[behavioral_weakness]]="","",career_stage)</f>
        <v>P</v>
      </c>
      <c r="D3" t="str">
        <f>IF(part4_bweakness[[#This Row],[behavioral_weakness]]="","",teacher_type)</f>
        <v>R</v>
      </c>
      <c r="E3" t="str" cm="1">
        <f t="array" ref="E3">IF(COUNTA(part4_behavioral_weakness)&gt;=ROW(part4_bweakness[[#This Row],[uniquepersonnelid]])-1,INDEX(part4_behavioral_weakness,ROW(part4_bweakness[[#This Row],[uniquepersonnelid]])-1,1),"")</f>
        <v>Results Focus</v>
      </c>
      <c r="F3" t="str" cm="1">
        <f t="array" ref="F3">IF(part4_bweakness[[#This Row],[behavioral_weakness]]="","",IF(INDEX(part4_behavioral,ROW(part4_bweakness[[#This Row],[uniquepersonnelid]])-1,1)="","",INDEX(part4_behavioral,ROW(part4_bweakness[[#This Row],[uniquepersonnelid]])-1,1)))</f>
        <v/>
      </c>
      <c r="G3" t="str" cm="1">
        <f t="array" ref="G3">IF(part4_bweakness[[#This Row],[behavioral_weakness]]="","",IF(INDEX(part4_behavioral,ROW(part4_bweakness[[#This Row],[uniquepersonnelid]])-1,2)="","",INDEX(part4_behavioral,ROW(part4_bweakness[[#This Row],[uniquepersonnelid]])-1,2)))</f>
        <v/>
      </c>
      <c r="H3" t="str" cm="1">
        <f t="array" ref="H3">IF(part4_bweakness[[#This Row],[behavioral_weakness]]="","",IF(INDEX(part4_behavioral,ROW(part4_bweakness[[#This Row],[uniquepersonnelid]])-1,3)="","",INDEX(part4_behavioral,ROW(part4_bweakness[[#This Row],[uniquepersonnelid]])-1,3)))</f>
        <v/>
      </c>
      <c r="I3" t="str" cm="1">
        <f t="array" ref="I3">IF(part4_bweakness[[#This Row],[behavioral_weakness]]="","",IF(INDEX(part4_behavioral,ROW(part4_bweakness[[#This Row],[uniquepersonnelid]])-1,4)="","",INDEX(part4_behavioral,ROW(part4_bweakness[[#This Row],[uniquepersonnelid]])-1,4)))</f>
        <v/>
      </c>
    </row>
    <row r="4" spans="1:9" x14ac:dyDescent="0.25">
      <c r="A4" t="str" cm="1">
        <f t="array" aca="1" ref="A4" ca="1">IF(part4_bweakness[[#This Row],[behavioral_weakness]]="","",demographics[uniquepersonnelid])</f>
        <v>REG4A-01-301418-4363744</v>
      </c>
      <c r="B4" t="str">
        <f>IF(part4_bweakness[[#This Row],[behavioral_weakness]]="","","SY "&amp;sy_start&amp;"-"&amp;sy_end)</f>
        <v>SY 2023-2024</v>
      </c>
      <c r="C4" t="str">
        <f>IF(part4_bweakness[[#This Row],[behavioral_weakness]]="","",career_stage)</f>
        <v>P</v>
      </c>
      <c r="D4" t="str">
        <f>IF(part4_bweakness[[#This Row],[behavioral_weakness]]="","",teacher_type)</f>
        <v>R</v>
      </c>
      <c r="E4" t="str" cm="1">
        <f t="array" ref="E4">IF(COUNTA(part4_behavioral_weakness)&gt;=ROW(part4_bweakness[[#This Row],[uniquepersonnelid]])-1,INDEX(part4_behavioral_weakness,ROW(part4_bweakness[[#This Row],[uniquepersonnelid]])-1,1),"")</f>
        <v>Teamwork</v>
      </c>
      <c r="F4" t="str" cm="1">
        <f t="array" ref="F4">IF(part4_bweakness[[#This Row],[behavioral_weakness]]="","",IF(INDEX(part4_behavioral,ROW(part4_bweakness[[#This Row],[uniquepersonnelid]])-1,1)="","",INDEX(part4_behavioral,ROW(part4_bweakness[[#This Row],[uniquepersonnelid]])-1,1)))</f>
        <v/>
      </c>
      <c r="G4" t="str" cm="1">
        <f t="array" ref="G4">IF(part4_bweakness[[#This Row],[behavioral_weakness]]="","",IF(INDEX(part4_behavioral,ROW(part4_bweakness[[#This Row],[uniquepersonnelid]])-1,2)="","",INDEX(part4_behavioral,ROW(part4_bweakness[[#This Row],[uniquepersonnelid]])-1,2)))</f>
        <v/>
      </c>
      <c r="H4" t="str" cm="1">
        <f t="array" ref="H4">IF(part4_bweakness[[#This Row],[behavioral_weakness]]="","",IF(INDEX(part4_behavioral,ROW(part4_bweakness[[#This Row],[uniquepersonnelid]])-1,3)="","",INDEX(part4_behavioral,ROW(part4_bweakness[[#This Row],[uniquepersonnelid]])-1,3)))</f>
        <v/>
      </c>
      <c r="I4" t="str" cm="1">
        <f t="array" ref="I4">IF(part4_bweakness[[#This Row],[behavioral_weakness]]="","",IF(INDEX(part4_behavioral,ROW(part4_bweakness[[#This Row],[uniquepersonnelid]])-1,4)="","",INDEX(part4_behavioral,ROW(part4_bweakness[[#This Row],[uniquepersonnelid]])-1,4)))</f>
        <v/>
      </c>
    </row>
    <row r="5" spans="1:9" x14ac:dyDescent="0.25">
      <c r="A5" t="str" cm="1">
        <f t="array" ref="A5">IF(part4_bweakness[[#This Row],[behavioral_weakness]]="","",demographics[uniquepersonnelid])</f>
        <v/>
      </c>
      <c r="B5" t="str">
        <f>IF(part4_bweakness[[#This Row],[behavioral_weakness]]="","","SY "&amp;sy_start&amp;"-"&amp;sy_end)</f>
        <v/>
      </c>
      <c r="C5" t="str">
        <f>IF(part4_bweakness[[#This Row],[behavioral_weakness]]="","",career_stage)</f>
        <v/>
      </c>
      <c r="D5" t="str">
        <f>IF(part4_bweakness[[#This Row],[behavioral_weakness]]="","",teacher_type)</f>
        <v/>
      </c>
      <c r="E5" t="str" cm="1">
        <f t="array" ref="E5">IF(COUNTA(part4_behavioral_weakness)&gt;=ROW(part4_bweakness[[#This Row],[uniquepersonnelid]])-1,INDEX(part4_behavioral_weakness,ROW(part4_bweakness[[#This Row],[uniquepersonnelid]])-1,1),"")</f>
        <v/>
      </c>
      <c r="F5" t="str" cm="1">
        <f t="array" ref="F5">IF(part4_bweakness[[#This Row],[behavioral_weakness]]="","",IF(INDEX(part4_behavioral,ROW(part4_bweakness[[#This Row],[uniquepersonnelid]])-1,1)="","",INDEX(part4_behavioral,ROW(part4_bweakness[[#This Row],[uniquepersonnelid]])-1,1)))</f>
        <v/>
      </c>
      <c r="G5" t="str" cm="1">
        <f t="array" ref="G5">IF(part4_bweakness[[#This Row],[behavioral_weakness]]="","",IF(INDEX(part4_behavioral,ROW(part4_bweakness[[#This Row],[uniquepersonnelid]])-1,2)="","",INDEX(part4_behavioral,ROW(part4_bweakness[[#This Row],[uniquepersonnelid]])-1,2)))</f>
        <v/>
      </c>
      <c r="H5" t="str" cm="1">
        <f t="array" ref="H5">IF(part4_bweakness[[#This Row],[behavioral_weakness]]="","",IF(INDEX(part4_behavioral,ROW(part4_bweakness[[#This Row],[uniquepersonnelid]])-1,3)="","",INDEX(part4_behavioral,ROW(part4_bweakness[[#This Row],[uniquepersonnelid]])-1,3)))</f>
        <v/>
      </c>
      <c r="I5" t="str" cm="1">
        <f t="array" ref="I5">IF(part4_bweakness[[#This Row],[behavioral_weakness]]="","",IF(INDEX(part4_behavioral,ROW(part4_bweakness[[#This Row],[uniquepersonnelid]])-1,4)="","",INDEX(part4_behavioral,ROW(part4_bweakness[[#This Row],[uniquepersonnelid]])-1,4)))</f>
        <v/>
      </c>
    </row>
    <row r="6" spans="1:9" x14ac:dyDescent="0.25">
      <c r="A6" t="str" cm="1">
        <f t="array" ref="A6">IF(part4_bweakness[[#This Row],[behavioral_weakness]]="","",demographics[uniquepersonnelid])</f>
        <v/>
      </c>
      <c r="B6" t="str">
        <f>IF(part4_bweakness[[#This Row],[behavioral_weakness]]="","","SY "&amp;sy_start&amp;"-"&amp;sy_end)</f>
        <v/>
      </c>
      <c r="C6" t="str">
        <f>IF(part4_bweakness[[#This Row],[behavioral_weakness]]="","",career_stage)</f>
        <v/>
      </c>
      <c r="D6" t="str">
        <f>IF(part4_bweakness[[#This Row],[behavioral_weakness]]="","",teacher_type)</f>
        <v/>
      </c>
      <c r="E6" t="str" cm="1">
        <f t="array" ref="E6">IF(COUNTA(part4_behavioral_weakness)&gt;=ROW(part4_bweakness[[#This Row],[uniquepersonnelid]])-1,INDEX(part4_behavioral_weakness,ROW(part4_bweakness[[#This Row],[uniquepersonnelid]])-1,1),"")</f>
        <v/>
      </c>
      <c r="F6" t="str" cm="1">
        <f t="array" ref="F6">IF(part4_bweakness[[#This Row],[behavioral_weakness]]="","",IF(INDEX(part4_behavioral,ROW(part4_bweakness[[#This Row],[uniquepersonnelid]])-1,1)="","",INDEX(part4_behavioral,ROW(part4_bweakness[[#This Row],[uniquepersonnelid]])-1,1)))</f>
        <v/>
      </c>
      <c r="G6" t="str" cm="1">
        <f t="array" ref="G6">IF(part4_bweakness[[#This Row],[behavioral_weakness]]="","",IF(INDEX(part4_behavioral,ROW(part4_bweakness[[#This Row],[uniquepersonnelid]])-1,2)="","",INDEX(part4_behavioral,ROW(part4_bweakness[[#This Row],[uniquepersonnelid]])-1,2)))</f>
        <v/>
      </c>
      <c r="H6" t="str" cm="1">
        <f t="array" ref="H6">IF(part4_bweakness[[#This Row],[behavioral_weakness]]="","",IF(INDEX(part4_behavioral,ROW(part4_bweakness[[#This Row],[uniquepersonnelid]])-1,3)="","",INDEX(part4_behavioral,ROW(part4_bweakness[[#This Row],[uniquepersonnelid]])-1,3)))</f>
        <v/>
      </c>
      <c r="I6" t="str" cm="1">
        <f t="array" ref="I6">IF(part4_bweakness[[#This Row],[behavioral_weakness]]="","",IF(INDEX(part4_behavioral,ROW(part4_bweakness[[#This Row],[uniquepersonnelid]])-1,4)="","",INDEX(part4_behavioral,ROW(part4_bweakness[[#This Row],[uniquepersonnelid]])-1,4)))</f>
        <v/>
      </c>
    </row>
    <row r="7" spans="1:9" x14ac:dyDescent="0.25">
      <c r="A7" t="str" cm="1">
        <f t="array" ref="A7">IF(part4_bweakness[[#This Row],[behavioral_weakness]]="","",demographics[uniquepersonnelid])</f>
        <v/>
      </c>
      <c r="B7" t="str">
        <f>IF(part4_bweakness[[#This Row],[behavioral_weakness]]="","","SY "&amp;sy_start&amp;"-"&amp;sy_end)</f>
        <v/>
      </c>
      <c r="C7" t="str">
        <f>IF(part4_bweakness[[#This Row],[behavioral_weakness]]="","",career_stage)</f>
        <v/>
      </c>
      <c r="D7" t="str">
        <f>IF(part4_bweakness[[#This Row],[behavioral_weakness]]="","",teacher_type)</f>
        <v/>
      </c>
      <c r="E7" t="str" cm="1">
        <f t="array" ref="E7">IF(COUNTA(part4_behavioral_weakness)&gt;=ROW(part4_bweakness[[#This Row],[uniquepersonnelid]])-1,INDEX(part4_behavioral_weakness,ROW(part4_bweakness[[#This Row],[uniquepersonnelid]])-1,1),"")</f>
        <v/>
      </c>
      <c r="F7" t="str" cm="1">
        <f t="array" ref="F7">IF(part4_bweakness[[#This Row],[behavioral_weakness]]="","",IF(INDEX(part4_behavioral,ROW(part4_bweakness[[#This Row],[uniquepersonnelid]])-1,1)="","",INDEX(part4_behavioral,ROW(part4_bweakness[[#This Row],[uniquepersonnelid]])-1,1)))</f>
        <v/>
      </c>
      <c r="G7" t="str" cm="1">
        <f t="array" ref="G7">IF(part4_bweakness[[#This Row],[behavioral_weakness]]="","",IF(INDEX(part4_behavioral,ROW(part4_bweakness[[#This Row],[uniquepersonnelid]])-1,2)="","",INDEX(part4_behavioral,ROW(part4_bweakness[[#This Row],[uniquepersonnelid]])-1,2)))</f>
        <v/>
      </c>
      <c r="H7" t="str" cm="1">
        <f t="array" ref="H7">IF(part4_bweakness[[#This Row],[behavioral_weakness]]="","",IF(INDEX(part4_behavioral,ROW(part4_bweakness[[#This Row],[uniquepersonnelid]])-1,3)="","",INDEX(part4_behavioral,ROW(part4_bweakness[[#This Row],[uniquepersonnelid]])-1,3)))</f>
        <v/>
      </c>
      <c r="I7" t="str" cm="1">
        <f t="array" ref="I7">IF(part4_bweakness[[#This Row],[behavioral_weakness]]="","",IF(INDEX(part4_behavioral,ROW(part4_bweakness[[#This Row],[uniquepersonnelid]])-1,4)="","",INDEX(part4_behavioral,ROW(part4_bweakness[[#This Row],[uniquepersonnelid]])-1,4)))</f>
        <v/>
      </c>
    </row>
  </sheetData>
  <sheetProtection algorithmName="SHA-512" hashValue="lY6FXOQcPKmElbQ6AdRwjrtqy+1KOas+9WRmCqG3ZgtPlnPm811KEUX+ABV5g9DgX2OMNI9hq4ByQb1D0wQ+oA==" saltValue="PZSYDhnuIkCr68ovh8BUaA==" spinCount="100000" sheet="1" objects="1" scenarios="1" selectLockedCells="1" selectUnlockedCells="1"/>
  <pageMargins left="0.7" right="0.7" top="0.75" bottom="0.75" header="0.3" footer="0.3"/>
  <pageSetup orientation="portrait" horizontalDpi="0" verticalDpi="0"/>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B6E6C-996C-48A2-905B-AD139DDDF0CC}">
  <sheetPr codeName="data1_Sheet"/>
  <dimension ref="A1:L229"/>
  <sheetViews>
    <sheetView topLeftCell="A183" zoomScaleNormal="100" workbookViewId="0">
      <selection activeCell="C186" sqref="C186"/>
    </sheetView>
  </sheetViews>
  <sheetFormatPr defaultColWidth="10.85546875" defaultRowHeight="15.75" x14ac:dyDescent="0.25"/>
  <cols>
    <col min="1" max="1" width="10.85546875" style="52"/>
    <col min="2" max="2" width="21.140625" style="52" customWidth="1"/>
    <col min="3" max="4" width="14.28515625" style="52" customWidth="1"/>
    <col min="5" max="5" width="32.140625" style="52" customWidth="1"/>
    <col min="6" max="6" width="17.28515625" style="52" customWidth="1"/>
    <col min="7" max="7" width="17.7109375" style="52" bestFit="1" customWidth="1"/>
    <col min="8" max="8" width="17.7109375" style="52" customWidth="1"/>
    <col min="9" max="9" width="33.28515625" style="52" bestFit="1" customWidth="1"/>
    <col min="10" max="10" width="18.42578125" style="52" bestFit="1" customWidth="1"/>
    <col min="11" max="11" width="33.28515625" style="52" bestFit="1" customWidth="1"/>
    <col min="12" max="16384" width="10.85546875" style="52"/>
  </cols>
  <sheetData>
    <row r="1" spans="1:12" s="51" customFormat="1" x14ac:dyDescent="0.25">
      <c r="A1" s="51" t="s">
        <v>110</v>
      </c>
      <c r="B1" s="51" t="s">
        <v>111</v>
      </c>
      <c r="C1" s="51" t="s">
        <v>112</v>
      </c>
      <c r="E1" s="51" t="s">
        <v>110</v>
      </c>
      <c r="F1" s="51" t="s">
        <v>113</v>
      </c>
      <c r="G1" s="51" t="s">
        <v>114</v>
      </c>
      <c r="H1" s="51" t="s">
        <v>115</v>
      </c>
      <c r="I1" s="51" t="s">
        <v>116</v>
      </c>
      <c r="J1" s="51" t="s">
        <v>117</v>
      </c>
      <c r="K1" s="51" t="s">
        <v>116</v>
      </c>
      <c r="L1" s="51" t="s">
        <v>118</v>
      </c>
    </row>
    <row r="2" spans="1:12" x14ac:dyDescent="0.25">
      <c r="A2" s="52" t="s">
        <v>119</v>
      </c>
      <c r="B2" s="52" t="s">
        <v>120</v>
      </c>
      <c r="C2" s="52" t="s">
        <v>121</v>
      </c>
      <c r="E2" s="52" t="s">
        <v>122</v>
      </c>
      <c r="F2" s="52" t="s">
        <v>119</v>
      </c>
      <c r="G2" s="52" t="s">
        <v>123</v>
      </c>
      <c r="H2" s="52" t="s">
        <v>124</v>
      </c>
      <c r="I2" t="s">
        <v>125</v>
      </c>
      <c r="J2" s="52" t="s">
        <v>125</v>
      </c>
      <c r="K2" t="s">
        <v>125</v>
      </c>
      <c r="L2" s="52" t="s">
        <v>126</v>
      </c>
    </row>
    <row r="3" spans="1:12" x14ac:dyDescent="0.25">
      <c r="A3" s="52" t="s">
        <v>119</v>
      </c>
      <c r="B3" s="398" t="s">
        <v>127</v>
      </c>
      <c r="C3" s="398" t="s">
        <v>128</v>
      </c>
      <c r="E3" s="52" t="s">
        <v>129</v>
      </c>
      <c r="F3" s="52" t="s">
        <v>130</v>
      </c>
      <c r="G3" s="52" t="s">
        <v>131</v>
      </c>
      <c r="H3" s="52" t="s">
        <v>132</v>
      </c>
      <c r="I3" t="s">
        <v>133</v>
      </c>
      <c r="J3" s="52" t="s">
        <v>125</v>
      </c>
      <c r="K3" t="s">
        <v>133</v>
      </c>
      <c r="L3" s="52" t="s">
        <v>134</v>
      </c>
    </row>
    <row r="4" spans="1:12" x14ac:dyDescent="0.25">
      <c r="A4" s="52" t="s">
        <v>119</v>
      </c>
      <c r="B4" s="52" t="s">
        <v>135</v>
      </c>
      <c r="C4" s="52" t="s">
        <v>136</v>
      </c>
      <c r="E4" s="52" t="s">
        <v>137</v>
      </c>
      <c r="F4" s="52" t="s">
        <v>138</v>
      </c>
      <c r="G4" s="52" t="s">
        <v>139</v>
      </c>
      <c r="H4" s="52" t="s">
        <v>140</v>
      </c>
      <c r="I4" t="s">
        <v>133</v>
      </c>
      <c r="J4" s="52" t="s">
        <v>141</v>
      </c>
      <c r="K4" t="s">
        <v>142</v>
      </c>
      <c r="L4" s="52" t="s">
        <v>143</v>
      </c>
    </row>
    <row r="5" spans="1:12" x14ac:dyDescent="0.25">
      <c r="A5" s="52" t="s">
        <v>119</v>
      </c>
      <c r="B5" s="52" t="s">
        <v>144</v>
      </c>
      <c r="C5" s="52" t="s">
        <v>145</v>
      </c>
      <c r="E5" s="52" t="s">
        <v>146</v>
      </c>
      <c r="F5" s="52" t="s">
        <v>147</v>
      </c>
      <c r="G5" s="52" t="s">
        <v>148</v>
      </c>
      <c r="H5" s="52" t="s">
        <v>149</v>
      </c>
      <c r="I5" t="s">
        <v>142</v>
      </c>
      <c r="J5" s="52" t="s">
        <v>125</v>
      </c>
      <c r="K5" t="s">
        <v>150</v>
      </c>
      <c r="L5" s="52" t="s">
        <v>151</v>
      </c>
    </row>
    <row r="6" spans="1:12" x14ac:dyDescent="0.25">
      <c r="A6" s="52" t="s">
        <v>119</v>
      </c>
      <c r="B6" s="52" t="s">
        <v>152</v>
      </c>
      <c r="C6" s="52" t="s">
        <v>153</v>
      </c>
      <c r="E6" s="52" t="s">
        <v>154</v>
      </c>
      <c r="F6" s="52" t="s">
        <v>155</v>
      </c>
      <c r="G6" s="52" t="s">
        <v>156</v>
      </c>
      <c r="H6" s="52" t="s">
        <v>157</v>
      </c>
      <c r="I6" t="s">
        <v>142</v>
      </c>
      <c r="J6" s="52" t="s">
        <v>141</v>
      </c>
      <c r="K6" t="s">
        <v>158</v>
      </c>
      <c r="L6" s="52" t="s">
        <v>159</v>
      </c>
    </row>
    <row r="7" spans="1:12" x14ac:dyDescent="0.25">
      <c r="A7" s="52" t="s">
        <v>119</v>
      </c>
      <c r="B7" s="52" t="s">
        <v>160</v>
      </c>
      <c r="C7" s="52" t="s">
        <v>161</v>
      </c>
      <c r="E7" s="52" t="s">
        <v>162</v>
      </c>
      <c r="F7" s="52" t="s">
        <v>163</v>
      </c>
      <c r="G7" s="52" t="s">
        <v>164</v>
      </c>
      <c r="H7" s="52" t="s">
        <v>165</v>
      </c>
      <c r="I7" t="s">
        <v>142</v>
      </c>
      <c r="J7" s="52" t="s">
        <v>166</v>
      </c>
      <c r="K7" t="s">
        <v>167</v>
      </c>
      <c r="L7" s="52" t="s">
        <v>168</v>
      </c>
    </row>
    <row r="8" spans="1:12" x14ac:dyDescent="0.25">
      <c r="A8" s="52" t="s">
        <v>119</v>
      </c>
      <c r="B8" s="52" t="s">
        <v>169</v>
      </c>
      <c r="C8" s="52" t="s">
        <v>170</v>
      </c>
      <c r="E8" s="52" t="s">
        <v>171</v>
      </c>
      <c r="F8" s="52" t="s">
        <v>172</v>
      </c>
      <c r="G8" s="52" t="s">
        <v>173</v>
      </c>
      <c r="H8" s="52" t="s">
        <v>174</v>
      </c>
      <c r="I8" t="s">
        <v>150</v>
      </c>
      <c r="J8" s="52" t="s">
        <v>125</v>
      </c>
      <c r="K8" t="s">
        <v>175</v>
      </c>
      <c r="L8" s="52" t="s">
        <v>176</v>
      </c>
    </row>
    <row r="9" spans="1:12" x14ac:dyDescent="0.25">
      <c r="A9" s="52" t="s">
        <v>119</v>
      </c>
      <c r="B9" s="52" t="s">
        <v>177</v>
      </c>
      <c r="C9" s="52" t="s">
        <v>178</v>
      </c>
      <c r="E9" s="52" t="s">
        <v>179</v>
      </c>
      <c r="F9" s="52" t="s">
        <v>180</v>
      </c>
      <c r="G9" s="52" t="s">
        <v>181</v>
      </c>
      <c r="H9" s="52" t="s">
        <v>182</v>
      </c>
      <c r="I9" t="s">
        <v>150</v>
      </c>
      <c r="J9" s="52" t="s">
        <v>141</v>
      </c>
      <c r="K9" t="s">
        <v>183</v>
      </c>
      <c r="L9" s="52" t="s">
        <v>184</v>
      </c>
    </row>
    <row r="10" spans="1:12" x14ac:dyDescent="0.25">
      <c r="A10" s="52" t="s">
        <v>119</v>
      </c>
      <c r="B10" s="398" t="s">
        <v>185</v>
      </c>
      <c r="C10" s="52" t="s">
        <v>186</v>
      </c>
      <c r="E10" s="52" t="s">
        <v>187</v>
      </c>
      <c r="F10" s="52" t="s">
        <v>188</v>
      </c>
      <c r="G10" s="52" t="s">
        <v>189</v>
      </c>
      <c r="H10" s="52" t="s">
        <v>190</v>
      </c>
      <c r="I10" t="s">
        <v>150</v>
      </c>
      <c r="J10" s="52" t="s">
        <v>166</v>
      </c>
      <c r="K10" t="s">
        <v>191</v>
      </c>
      <c r="L10" s="52" t="s">
        <v>192</v>
      </c>
    </row>
    <row r="11" spans="1:12" x14ac:dyDescent="0.25">
      <c r="A11" s="52" t="s">
        <v>119</v>
      </c>
      <c r="B11" s="52" t="s">
        <v>193</v>
      </c>
      <c r="C11" s="52" t="s">
        <v>194</v>
      </c>
      <c r="E11" s="52" t="s">
        <v>195</v>
      </c>
      <c r="F11" s="52" t="s">
        <v>196</v>
      </c>
      <c r="G11" s="52" t="s">
        <v>197</v>
      </c>
      <c r="H11" s="52" t="s">
        <v>198</v>
      </c>
      <c r="I11" t="s">
        <v>150</v>
      </c>
      <c r="J11" s="52" t="s">
        <v>199</v>
      </c>
      <c r="K11" t="s">
        <v>200</v>
      </c>
      <c r="L11" s="52" t="s">
        <v>201</v>
      </c>
    </row>
    <row r="12" spans="1:12" x14ac:dyDescent="0.25">
      <c r="A12" s="52" t="s">
        <v>119</v>
      </c>
      <c r="B12" s="398" t="s">
        <v>202</v>
      </c>
      <c r="C12" s="398" t="s">
        <v>203</v>
      </c>
      <c r="E12" s="52" t="s">
        <v>204</v>
      </c>
      <c r="F12" s="52" t="s">
        <v>205</v>
      </c>
      <c r="G12" s="52" t="s">
        <v>206</v>
      </c>
      <c r="H12" s="52" t="s">
        <v>207</v>
      </c>
      <c r="I12" t="s">
        <v>158</v>
      </c>
      <c r="J12" s="52" t="s">
        <v>125</v>
      </c>
      <c r="K12" t="s">
        <v>208</v>
      </c>
      <c r="L12" s="52" t="s">
        <v>209</v>
      </c>
    </row>
    <row r="13" spans="1:12" x14ac:dyDescent="0.25">
      <c r="A13" s="52" t="s">
        <v>130</v>
      </c>
      <c r="B13" s="52" t="s">
        <v>210</v>
      </c>
      <c r="C13" s="52" t="s">
        <v>211</v>
      </c>
      <c r="E13" s="52" t="s">
        <v>212</v>
      </c>
      <c r="F13" s="52" t="s">
        <v>213</v>
      </c>
      <c r="G13" s="52" t="s">
        <v>214</v>
      </c>
      <c r="H13" s="52" t="s">
        <v>215</v>
      </c>
      <c r="I13" t="s">
        <v>158</v>
      </c>
      <c r="J13" s="52" t="s">
        <v>141</v>
      </c>
      <c r="K13" t="s">
        <v>216</v>
      </c>
      <c r="L13" s="52" t="s">
        <v>217</v>
      </c>
    </row>
    <row r="14" spans="1:12" x14ac:dyDescent="0.25">
      <c r="A14" s="52" t="s">
        <v>130</v>
      </c>
      <c r="B14" s="52" t="s">
        <v>218</v>
      </c>
      <c r="C14" s="52" t="s">
        <v>219</v>
      </c>
      <c r="E14" s="52" t="s">
        <v>220</v>
      </c>
      <c r="F14" s="52" t="s">
        <v>221</v>
      </c>
      <c r="G14" s="52" t="s">
        <v>222</v>
      </c>
      <c r="H14" s="52" t="s">
        <v>223</v>
      </c>
      <c r="I14" t="s">
        <v>158</v>
      </c>
      <c r="J14" s="52" t="s">
        <v>199</v>
      </c>
      <c r="K14" t="s">
        <v>224</v>
      </c>
      <c r="L14" s="52" t="s">
        <v>225</v>
      </c>
    </row>
    <row r="15" spans="1:12" x14ac:dyDescent="0.25">
      <c r="A15" s="52" t="s">
        <v>130</v>
      </c>
      <c r="B15" s="52" t="s">
        <v>226</v>
      </c>
      <c r="C15" s="52" t="s">
        <v>227</v>
      </c>
      <c r="E15" s="52" t="s">
        <v>228</v>
      </c>
      <c r="F15" s="52" t="s">
        <v>229</v>
      </c>
      <c r="G15" s="52" t="s">
        <v>230</v>
      </c>
      <c r="H15" s="52" t="s">
        <v>231</v>
      </c>
      <c r="I15" t="s">
        <v>167</v>
      </c>
      <c r="J15" s="52" t="s">
        <v>125</v>
      </c>
      <c r="K15" t="s">
        <v>232</v>
      </c>
      <c r="L15" s="52" t="s">
        <v>233</v>
      </c>
    </row>
    <row r="16" spans="1:12" x14ac:dyDescent="0.25">
      <c r="A16" s="52" t="s">
        <v>130</v>
      </c>
      <c r="B16" s="52" t="s">
        <v>234</v>
      </c>
      <c r="C16" s="52" t="s">
        <v>235</v>
      </c>
      <c r="E16" s="52" t="s">
        <v>236</v>
      </c>
      <c r="F16" s="52" t="s">
        <v>237</v>
      </c>
      <c r="G16" s="52" t="s">
        <v>238</v>
      </c>
      <c r="H16" s="52" t="s">
        <v>239</v>
      </c>
      <c r="I16" t="s">
        <v>167</v>
      </c>
      <c r="J16" s="52" t="s">
        <v>141</v>
      </c>
      <c r="K16" t="s">
        <v>240</v>
      </c>
      <c r="L16" s="52" t="s">
        <v>241</v>
      </c>
    </row>
    <row r="17" spans="1:12" x14ac:dyDescent="0.25">
      <c r="A17" s="52" t="s">
        <v>130</v>
      </c>
      <c r="B17" s="52" t="s">
        <v>242</v>
      </c>
      <c r="C17" s="52" t="s">
        <v>243</v>
      </c>
      <c r="E17" s="52" t="s">
        <v>244</v>
      </c>
      <c r="F17" s="52" t="s">
        <v>245</v>
      </c>
      <c r="G17" s="52" t="s">
        <v>246</v>
      </c>
      <c r="H17" s="52" t="s">
        <v>247</v>
      </c>
      <c r="I17" t="s">
        <v>167</v>
      </c>
      <c r="J17" s="52" t="s">
        <v>166</v>
      </c>
      <c r="K17" t="s">
        <v>248</v>
      </c>
      <c r="L17" s="52" t="s">
        <v>249</v>
      </c>
    </row>
    <row r="18" spans="1:12" x14ac:dyDescent="0.25">
      <c r="A18" s="52" t="s">
        <v>130</v>
      </c>
      <c r="B18" s="52" t="s">
        <v>250</v>
      </c>
      <c r="C18" s="52" t="s">
        <v>251</v>
      </c>
      <c r="E18" s="52" t="s">
        <v>252</v>
      </c>
      <c r="F18" s="52" t="s">
        <v>253</v>
      </c>
      <c r="G18" s="52" t="s">
        <v>254</v>
      </c>
      <c r="H18" s="52" t="s">
        <v>255</v>
      </c>
      <c r="I18" t="s">
        <v>175</v>
      </c>
      <c r="J18" s="52" t="s">
        <v>125</v>
      </c>
      <c r="K18" t="s">
        <v>256</v>
      </c>
      <c r="L18" s="52" t="s">
        <v>257</v>
      </c>
    </row>
    <row r="19" spans="1:12" x14ac:dyDescent="0.25">
      <c r="A19" s="52" t="s">
        <v>130</v>
      </c>
      <c r="B19" s="52" t="s">
        <v>258</v>
      </c>
      <c r="C19" s="52" t="s">
        <v>259</v>
      </c>
      <c r="I19" t="s">
        <v>175</v>
      </c>
      <c r="J19" s="52" t="s">
        <v>141</v>
      </c>
      <c r="K19" t="s">
        <v>260</v>
      </c>
      <c r="L19" s="52" t="s">
        <v>261</v>
      </c>
    </row>
    <row r="20" spans="1:12" x14ac:dyDescent="0.25">
      <c r="A20" s="52" t="s">
        <v>130</v>
      </c>
      <c r="B20" s="52" t="s">
        <v>262</v>
      </c>
      <c r="C20" s="52" t="s">
        <v>263</v>
      </c>
      <c r="I20" t="s">
        <v>175</v>
      </c>
      <c r="J20" s="52" t="s">
        <v>166</v>
      </c>
    </row>
    <row r="21" spans="1:12" x14ac:dyDescent="0.25">
      <c r="A21" s="52" t="s">
        <v>138</v>
      </c>
      <c r="B21" s="52" t="s">
        <v>264</v>
      </c>
      <c r="C21" s="52" t="s">
        <v>265</v>
      </c>
      <c r="I21" t="s">
        <v>175</v>
      </c>
      <c r="J21" s="52" t="s">
        <v>199</v>
      </c>
    </row>
    <row r="22" spans="1:12" x14ac:dyDescent="0.25">
      <c r="A22" s="52" t="s">
        <v>138</v>
      </c>
      <c r="B22" s="52" t="s">
        <v>266</v>
      </c>
      <c r="C22" s="52" t="s">
        <v>267</v>
      </c>
      <c r="I22" t="s">
        <v>183</v>
      </c>
      <c r="J22" s="52" t="s">
        <v>125</v>
      </c>
    </row>
    <row r="23" spans="1:12" x14ac:dyDescent="0.25">
      <c r="A23" s="52" t="s">
        <v>138</v>
      </c>
      <c r="B23" s="52" t="s">
        <v>268</v>
      </c>
      <c r="C23" s="52" t="s">
        <v>269</v>
      </c>
      <c r="I23" t="s">
        <v>183</v>
      </c>
      <c r="J23" s="52" t="s">
        <v>166</v>
      </c>
    </row>
    <row r="24" spans="1:12" x14ac:dyDescent="0.25">
      <c r="A24" s="52" t="s">
        <v>138</v>
      </c>
      <c r="B24" s="52" t="s">
        <v>270</v>
      </c>
      <c r="C24" s="52" t="s">
        <v>271</v>
      </c>
      <c r="I24" t="s">
        <v>191</v>
      </c>
      <c r="J24" s="52" t="s">
        <v>125</v>
      </c>
    </row>
    <row r="25" spans="1:12" x14ac:dyDescent="0.25">
      <c r="A25" s="52" t="s">
        <v>138</v>
      </c>
      <c r="B25" s="52" t="s">
        <v>272</v>
      </c>
      <c r="C25" s="52" t="s">
        <v>273</v>
      </c>
      <c r="I25" t="s">
        <v>191</v>
      </c>
      <c r="J25" s="52" t="s">
        <v>166</v>
      </c>
    </row>
    <row r="26" spans="1:12" x14ac:dyDescent="0.25">
      <c r="A26" s="52" t="s">
        <v>138</v>
      </c>
      <c r="B26" s="52" t="s">
        <v>274</v>
      </c>
      <c r="C26" s="52" t="s">
        <v>275</v>
      </c>
      <c r="I26" t="s">
        <v>191</v>
      </c>
      <c r="J26" s="52" t="s">
        <v>199</v>
      </c>
    </row>
    <row r="27" spans="1:12" x14ac:dyDescent="0.25">
      <c r="A27" s="52" t="s">
        <v>138</v>
      </c>
      <c r="B27" s="52" t="s">
        <v>276</v>
      </c>
      <c r="C27" s="52" t="s">
        <v>277</v>
      </c>
      <c r="I27" t="s">
        <v>200</v>
      </c>
      <c r="J27" s="52" t="s">
        <v>125</v>
      </c>
    </row>
    <row r="28" spans="1:12" x14ac:dyDescent="0.25">
      <c r="A28" s="52" t="s">
        <v>138</v>
      </c>
      <c r="B28" s="52" t="s">
        <v>278</v>
      </c>
      <c r="C28" s="52" t="s">
        <v>279</v>
      </c>
      <c r="I28" t="s">
        <v>200</v>
      </c>
      <c r="J28" s="52" t="s">
        <v>199</v>
      </c>
    </row>
    <row r="29" spans="1:12" x14ac:dyDescent="0.25">
      <c r="A29" s="52" t="s">
        <v>138</v>
      </c>
      <c r="B29" s="52" t="s">
        <v>280</v>
      </c>
      <c r="C29" s="52" t="s">
        <v>281</v>
      </c>
      <c r="H29" s="398"/>
      <c r="I29" t="s">
        <v>208</v>
      </c>
      <c r="J29" s="52" t="s">
        <v>141</v>
      </c>
    </row>
    <row r="30" spans="1:12" x14ac:dyDescent="0.25">
      <c r="A30" s="52" t="s">
        <v>138</v>
      </c>
      <c r="B30" s="52" t="s">
        <v>282</v>
      </c>
      <c r="C30" s="52" t="s">
        <v>283</v>
      </c>
      <c r="H30" s="398"/>
      <c r="I30" t="s">
        <v>216</v>
      </c>
      <c r="J30" s="52" t="s">
        <v>141</v>
      </c>
    </row>
    <row r="31" spans="1:12" x14ac:dyDescent="0.25">
      <c r="A31" s="52" t="s">
        <v>138</v>
      </c>
      <c r="B31" s="52" t="s">
        <v>284</v>
      </c>
      <c r="C31" s="52" t="s">
        <v>285</v>
      </c>
      <c r="H31" s="398"/>
      <c r="I31" t="s">
        <v>216</v>
      </c>
      <c r="J31" s="52" t="s">
        <v>166</v>
      </c>
    </row>
    <row r="32" spans="1:12" x14ac:dyDescent="0.25">
      <c r="A32" s="52" t="s">
        <v>138</v>
      </c>
      <c r="B32" s="52" t="s">
        <v>286</v>
      </c>
      <c r="C32" s="52" t="s">
        <v>287</v>
      </c>
      <c r="H32" s="398"/>
      <c r="I32" t="s">
        <v>224</v>
      </c>
      <c r="J32" s="52" t="s">
        <v>141</v>
      </c>
    </row>
    <row r="33" spans="1:10" x14ac:dyDescent="0.25">
      <c r="A33" s="52" t="s">
        <v>138</v>
      </c>
      <c r="B33" s="52" t="s">
        <v>288</v>
      </c>
      <c r="C33" s="52" t="s">
        <v>289</v>
      </c>
      <c r="H33" s="398"/>
      <c r="I33" t="s">
        <v>224</v>
      </c>
      <c r="J33" s="52" t="s">
        <v>199</v>
      </c>
    </row>
    <row r="34" spans="1:10" x14ac:dyDescent="0.25">
      <c r="A34" s="52" t="s">
        <v>138</v>
      </c>
      <c r="B34" s="52" t="s">
        <v>290</v>
      </c>
      <c r="C34" s="52" t="s">
        <v>291</v>
      </c>
      <c r="H34" s="398"/>
      <c r="I34" t="s">
        <v>232</v>
      </c>
      <c r="J34" s="52" t="s">
        <v>141</v>
      </c>
    </row>
    <row r="35" spans="1:10" x14ac:dyDescent="0.25">
      <c r="A35" s="52" t="s">
        <v>138</v>
      </c>
      <c r="B35" s="52" t="s">
        <v>292</v>
      </c>
      <c r="C35" s="52" t="s">
        <v>293</v>
      </c>
      <c r="H35" s="398"/>
      <c r="I35" t="s">
        <v>232</v>
      </c>
      <c r="J35" s="52" t="s">
        <v>166</v>
      </c>
    </row>
    <row r="36" spans="1:10" x14ac:dyDescent="0.25">
      <c r="A36" s="52" t="s">
        <v>138</v>
      </c>
      <c r="B36" s="52" t="s">
        <v>294</v>
      </c>
      <c r="C36" s="52" t="s">
        <v>295</v>
      </c>
      <c r="H36" s="398"/>
      <c r="I36" t="s">
        <v>232</v>
      </c>
      <c r="J36" s="52" t="s">
        <v>199</v>
      </c>
    </row>
    <row r="37" spans="1:10" x14ac:dyDescent="0.25">
      <c r="A37" s="52" t="s">
        <v>296</v>
      </c>
      <c r="B37" s="52" t="s">
        <v>297</v>
      </c>
      <c r="C37" s="52" t="s">
        <v>298</v>
      </c>
      <c r="H37" s="398"/>
      <c r="I37" t="s">
        <v>240</v>
      </c>
      <c r="J37" s="52" t="s">
        <v>166</v>
      </c>
    </row>
    <row r="38" spans="1:10" x14ac:dyDescent="0.25">
      <c r="A38" s="52" t="s">
        <v>296</v>
      </c>
      <c r="B38" s="52" t="s">
        <v>299</v>
      </c>
      <c r="C38" s="52" t="s">
        <v>300</v>
      </c>
      <c r="H38" s="398"/>
      <c r="I38" t="s">
        <v>248</v>
      </c>
      <c r="J38" s="52" t="s">
        <v>166</v>
      </c>
    </row>
    <row r="39" spans="1:10" x14ac:dyDescent="0.25">
      <c r="A39" s="52" t="s">
        <v>296</v>
      </c>
      <c r="B39" s="52" t="s">
        <v>301</v>
      </c>
      <c r="C39" s="52" t="s">
        <v>302</v>
      </c>
      <c r="H39" s="398"/>
      <c r="I39" t="s">
        <v>248</v>
      </c>
      <c r="J39" s="52" t="s">
        <v>199</v>
      </c>
    </row>
    <row r="40" spans="1:10" x14ac:dyDescent="0.25">
      <c r="A40" s="52" t="s">
        <v>296</v>
      </c>
      <c r="B40" s="52" t="s">
        <v>303</v>
      </c>
      <c r="C40" s="52" t="s">
        <v>304</v>
      </c>
      <c r="H40" s="398"/>
      <c r="I40" t="s">
        <v>256</v>
      </c>
      <c r="J40" s="52" t="s">
        <v>199</v>
      </c>
    </row>
    <row r="41" spans="1:10" x14ac:dyDescent="0.25">
      <c r="A41" s="52" t="s">
        <v>296</v>
      </c>
      <c r="B41" s="52" t="s">
        <v>305</v>
      </c>
      <c r="C41" s="52" t="s">
        <v>306</v>
      </c>
      <c r="H41" s="398"/>
      <c r="I41" t="s">
        <v>260</v>
      </c>
      <c r="J41" s="398" t="s">
        <v>141</v>
      </c>
    </row>
    <row r="42" spans="1:10" x14ac:dyDescent="0.25">
      <c r="A42" s="52" t="s">
        <v>296</v>
      </c>
      <c r="B42" s="52" t="s">
        <v>307</v>
      </c>
      <c r="C42" s="52" t="s">
        <v>308</v>
      </c>
      <c r="H42" s="398"/>
      <c r="I42" t="s">
        <v>260</v>
      </c>
      <c r="J42" s="398" t="s">
        <v>166</v>
      </c>
    </row>
    <row r="43" spans="1:10" x14ac:dyDescent="0.25">
      <c r="A43" s="52" t="s">
        <v>296</v>
      </c>
      <c r="B43" s="52" t="s">
        <v>309</v>
      </c>
      <c r="C43" s="52" t="s">
        <v>310</v>
      </c>
      <c r="H43" s="398"/>
    </row>
    <row r="44" spans="1:10" x14ac:dyDescent="0.25">
      <c r="A44" s="52" t="s">
        <v>296</v>
      </c>
      <c r="B44" s="52" t="s">
        <v>311</v>
      </c>
      <c r="C44" s="52" t="s">
        <v>312</v>
      </c>
      <c r="H44" s="398"/>
    </row>
    <row r="45" spans="1:10" x14ac:dyDescent="0.25">
      <c r="A45" s="52" t="s">
        <v>296</v>
      </c>
      <c r="B45" s="52" t="s">
        <v>313</v>
      </c>
      <c r="C45" s="52" t="s">
        <v>314</v>
      </c>
      <c r="H45" s="398"/>
    </row>
    <row r="46" spans="1:10" x14ac:dyDescent="0.25">
      <c r="A46" s="52" t="s">
        <v>296</v>
      </c>
      <c r="B46" s="52" t="s">
        <v>315</v>
      </c>
      <c r="C46" s="52" t="s">
        <v>316</v>
      </c>
    </row>
    <row r="47" spans="1:10" x14ac:dyDescent="0.25">
      <c r="A47" s="52" t="s">
        <v>296</v>
      </c>
      <c r="B47" s="52" t="s">
        <v>317</v>
      </c>
      <c r="C47" s="52" t="s">
        <v>318</v>
      </c>
    </row>
    <row r="48" spans="1:10" x14ac:dyDescent="0.25">
      <c r="A48" s="52" t="s">
        <v>296</v>
      </c>
      <c r="B48" s="52" t="s">
        <v>319</v>
      </c>
      <c r="C48" s="52" t="s">
        <v>320</v>
      </c>
    </row>
    <row r="49" spans="1:3" x14ac:dyDescent="0.25">
      <c r="A49" s="52" t="s">
        <v>296</v>
      </c>
      <c r="B49" s="52" t="s">
        <v>321</v>
      </c>
      <c r="C49" s="52" t="s">
        <v>322</v>
      </c>
    </row>
    <row r="50" spans="1:3" x14ac:dyDescent="0.25">
      <c r="A50" s="52" t="s">
        <v>296</v>
      </c>
      <c r="B50" s="52" t="s">
        <v>323</v>
      </c>
      <c r="C50" s="52" t="s">
        <v>324</v>
      </c>
    </row>
    <row r="51" spans="1:3" x14ac:dyDescent="0.25">
      <c r="A51" s="52" t="s">
        <v>325</v>
      </c>
      <c r="B51" s="52" t="s">
        <v>326</v>
      </c>
      <c r="C51" s="52" t="s">
        <v>327</v>
      </c>
    </row>
    <row r="52" spans="1:3" x14ac:dyDescent="0.25">
      <c r="A52" s="52" t="s">
        <v>325</v>
      </c>
      <c r="B52" s="52" t="s">
        <v>328</v>
      </c>
      <c r="C52" s="52" t="s">
        <v>329</v>
      </c>
    </row>
    <row r="53" spans="1:3" x14ac:dyDescent="0.25">
      <c r="A53" s="52" t="s">
        <v>325</v>
      </c>
      <c r="B53" s="52" t="s">
        <v>330</v>
      </c>
      <c r="C53" s="52" t="s">
        <v>331</v>
      </c>
    </row>
    <row r="54" spans="1:3" x14ac:dyDescent="0.25">
      <c r="A54" s="52" t="s">
        <v>325</v>
      </c>
      <c r="B54" s="52" t="s">
        <v>332</v>
      </c>
      <c r="C54" s="52" t="s">
        <v>333</v>
      </c>
    </row>
    <row r="55" spans="1:3" x14ac:dyDescent="0.25">
      <c r="A55" s="52" t="s">
        <v>325</v>
      </c>
      <c r="B55" s="52" t="s">
        <v>334</v>
      </c>
      <c r="C55" s="52" t="s">
        <v>335</v>
      </c>
    </row>
    <row r="56" spans="1:3" x14ac:dyDescent="0.25">
      <c r="A56" s="52" t="s">
        <v>325</v>
      </c>
      <c r="B56" s="52" t="s">
        <v>336</v>
      </c>
      <c r="C56" s="52" t="s">
        <v>337</v>
      </c>
    </row>
    <row r="57" spans="1:3" x14ac:dyDescent="0.25">
      <c r="A57" s="52" t="s">
        <v>325</v>
      </c>
      <c r="B57" s="52" t="s">
        <v>338</v>
      </c>
      <c r="C57" s="52" t="s">
        <v>339</v>
      </c>
    </row>
    <row r="58" spans="1:3" x14ac:dyDescent="0.25">
      <c r="A58" s="52" t="s">
        <v>325</v>
      </c>
      <c r="B58" s="52" t="s">
        <v>340</v>
      </c>
      <c r="C58" s="52" t="s">
        <v>341</v>
      </c>
    </row>
    <row r="59" spans="1:3" x14ac:dyDescent="0.25">
      <c r="A59" s="52" t="s">
        <v>325</v>
      </c>
      <c r="B59" s="52" t="s">
        <v>342</v>
      </c>
      <c r="C59" s="52" t="s">
        <v>343</v>
      </c>
    </row>
    <row r="60" spans="1:3" x14ac:dyDescent="0.25">
      <c r="A60" s="52" t="s">
        <v>344</v>
      </c>
      <c r="B60" s="52" t="s">
        <v>345</v>
      </c>
      <c r="C60" s="52" t="s">
        <v>346</v>
      </c>
    </row>
    <row r="61" spans="1:3" x14ac:dyDescent="0.25">
      <c r="A61" s="52" t="s">
        <v>344</v>
      </c>
      <c r="B61" s="52" t="s">
        <v>347</v>
      </c>
      <c r="C61" s="52" t="s">
        <v>348</v>
      </c>
    </row>
    <row r="62" spans="1:3" x14ac:dyDescent="0.25">
      <c r="A62" s="52" t="s">
        <v>344</v>
      </c>
      <c r="B62" s="52" t="s">
        <v>349</v>
      </c>
      <c r="C62" s="52" t="s">
        <v>350</v>
      </c>
    </row>
    <row r="63" spans="1:3" x14ac:dyDescent="0.25">
      <c r="A63" s="52" t="s">
        <v>344</v>
      </c>
      <c r="B63" s="52" t="s">
        <v>351</v>
      </c>
      <c r="C63" s="52" t="s">
        <v>352</v>
      </c>
    </row>
    <row r="64" spans="1:3" x14ac:dyDescent="0.25">
      <c r="A64" s="52" t="s">
        <v>344</v>
      </c>
      <c r="B64" s="52" t="s">
        <v>353</v>
      </c>
      <c r="C64" s="52" t="s">
        <v>354</v>
      </c>
    </row>
    <row r="65" spans="1:3" x14ac:dyDescent="0.25">
      <c r="A65" s="52" t="s">
        <v>344</v>
      </c>
      <c r="B65" s="52" t="s">
        <v>355</v>
      </c>
      <c r="C65" s="52" t="s">
        <v>356</v>
      </c>
    </row>
    <row r="66" spans="1:3" x14ac:dyDescent="0.25">
      <c r="A66" s="52" t="s">
        <v>344</v>
      </c>
      <c r="B66" s="52" t="s">
        <v>357</v>
      </c>
      <c r="C66" s="52" t="s">
        <v>358</v>
      </c>
    </row>
    <row r="67" spans="1:3" x14ac:dyDescent="0.25">
      <c r="A67" s="52" t="s">
        <v>344</v>
      </c>
      <c r="B67" s="52" t="s">
        <v>359</v>
      </c>
      <c r="C67" s="52" t="s">
        <v>360</v>
      </c>
    </row>
    <row r="68" spans="1:3" x14ac:dyDescent="0.25">
      <c r="A68" s="52" t="s">
        <v>344</v>
      </c>
      <c r="B68" s="52" t="s">
        <v>361</v>
      </c>
      <c r="C68" s="52" t="s">
        <v>362</v>
      </c>
    </row>
    <row r="69" spans="1:3" x14ac:dyDescent="0.25">
      <c r="A69" s="52" t="s">
        <v>344</v>
      </c>
      <c r="B69" s="52" t="s">
        <v>363</v>
      </c>
      <c r="C69" s="52" t="s">
        <v>364</v>
      </c>
    </row>
    <row r="70" spans="1:3" x14ac:dyDescent="0.25">
      <c r="A70" s="52" t="s">
        <v>344</v>
      </c>
      <c r="B70" s="52" t="s">
        <v>365</v>
      </c>
      <c r="C70" s="52" t="s">
        <v>366</v>
      </c>
    </row>
    <row r="71" spans="1:3" x14ac:dyDescent="0.25">
      <c r="A71" s="52" t="s">
        <v>344</v>
      </c>
      <c r="B71" s="52" t="s">
        <v>367</v>
      </c>
      <c r="C71" s="52" t="s">
        <v>368</v>
      </c>
    </row>
    <row r="72" spans="1:3" x14ac:dyDescent="0.25">
      <c r="A72" s="52" t="s">
        <v>344</v>
      </c>
      <c r="B72" s="52" t="s">
        <v>369</v>
      </c>
      <c r="C72" s="52" t="s">
        <v>370</v>
      </c>
    </row>
    <row r="73" spans="1:3" x14ac:dyDescent="0.25">
      <c r="A73" s="52" t="s">
        <v>344</v>
      </c>
      <c r="B73" s="52" t="s">
        <v>319</v>
      </c>
      <c r="C73" s="52" t="s">
        <v>371</v>
      </c>
    </row>
    <row r="74" spans="1:3" x14ac:dyDescent="0.25">
      <c r="A74" s="52" t="s">
        <v>344</v>
      </c>
      <c r="B74" s="52" t="s">
        <v>372</v>
      </c>
      <c r="C74" s="52" t="s">
        <v>373</v>
      </c>
    </row>
    <row r="75" spans="1:3" x14ac:dyDescent="0.25">
      <c r="A75" s="52" t="s">
        <v>344</v>
      </c>
      <c r="B75" s="52" t="s">
        <v>374</v>
      </c>
      <c r="C75" s="52" t="s">
        <v>375</v>
      </c>
    </row>
    <row r="76" spans="1:3" x14ac:dyDescent="0.25">
      <c r="A76" s="52" t="s">
        <v>344</v>
      </c>
      <c r="B76" s="52" t="s">
        <v>376</v>
      </c>
      <c r="C76" s="52" t="s">
        <v>377</v>
      </c>
    </row>
    <row r="77" spans="1:3" x14ac:dyDescent="0.25">
      <c r="A77" s="52" t="s">
        <v>344</v>
      </c>
      <c r="B77" s="52" t="s">
        <v>378</v>
      </c>
      <c r="C77" s="52" t="s">
        <v>379</v>
      </c>
    </row>
    <row r="78" spans="1:3" x14ac:dyDescent="0.25">
      <c r="A78" s="52" t="s">
        <v>344</v>
      </c>
      <c r="B78" s="52" t="s">
        <v>380</v>
      </c>
      <c r="C78" s="52" t="s">
        <v>381</v>
      </c>
    </row>
    <row r="79" spans="1:3" x14ac:dyDescent="0.25">
      <c r="A79" s="52" t="s">
        <v>344</v>
      </c>
      <c r="B79" s="52" t="s">
        <v>382</v>
      </c>
      <c r="C79" s="52" t="s">
        <v>383</v>
      </c>
    </row>
    <row r="80" spans="1:3" x14ac:dyDescent="0.25">
      <c r="A80" s="52" t="s">
        <v>384</v>
      </c>
      <c r="B80" s="52" t="s">
        <v>385</v>
      </c>
      <c r="C80" s="52" t="s">
        <v>386</v>
      </c>
    </row>
    <row r="81" spans="1:3" x14ac:dyDescent="0.25">
      <c r="A81" s="52" t="s">
        <v>384</v>
      </c>
      <c r="B81" s="52" t="s">
        <v>387</v>
      </c>
      <c r="C81" s="52" t="s">
        <v>388</v>
      </c>
    </row>
    <row r="82" spans="1:3" x14ac:dyDescent="0.25">
      <c r="A82" s="52" t="s">
        <v>384</v>
      </c>
      <c r="B82" s="52" t="s">
        <v>389</v>
      </c>
      <c r="C82" s="52" t="s">
        <v>390</v>
      </c>
    </row>
    <row r="83" spans="1:3" x14ac:dyDescent="0.25">
      <c r="A83" s="52" t="s">
        <v>384</v>
      </c>
      <c r="B83" s="52" t="s">
        <v>391</v>
      </c>
      <c r="C83" s="52" t="s">
        <v>392</v>
      </c>
    </row>
    <row r="84" spans="1:3" x14ac:dyDescent="0.25">
      <c r="A84" s="52" t="s">
        <v>384</v>
      </c>
      <c r="B84" s="52" t="s">
        <v>393</v>
      </c>
      <c r="C84" s="52" t="s">
        <v>394</v>
      </c>
    </row>
    <row r="85" spans="1:3" x14ac:dyDescent="0.25">
      <c r="A85" s="52" t="s">
        <v>384</v>
      </c>
      <c r="B85" s="52" t="s">
        <v>395</v>
      </c>
      <c r="C85" s="52" t="s">
        <v>396</v>
      </c>
    </row>
    <row r="86" spans="1:3" x14ac:dyDescent="0.25">
      <c r="A86" s="52" t="s">
        <v>384</v>
      </c>
      <c r="B86" s="52" t="s">
        <v>397</v>
      </c>
      <c r="C86" s="52" t="s">
        <v>398</v>
      </c>
    </row>
    <row r="87" spans="1:3" x14ac:dyDescent="0.25">
      <c r="A87" s="52" t="s">
        <v>384</v>
      </c>
      <c r="B87" s="52" t="s">
        <v>399</v>
      </c>
      <c r="C87" s="52" t="s">
        <v>400</v>
      </c>
    </row>
    <row r="88" spans="1:3" x14ac:dyDescent="0.25">
      <c r="A88" s="52" t="s">
        <v>384</v>
      </c>
      <c r="B88" s="52" t="s">
        <v>401</v>
      </c>
      <c r="C88" s="52" t="s">
        <v>402</v>
      </c>
    </row>
    <row r="89" spans="1:3" x14ac:dyDescent="0.25">
      <c r="A89" s="52" t="s">
        <v>384</v>
      </c>
      <c r="B89" s="52" t="s">
        <v>403</v>
      </c>
      <c r="C89" s="52" t="s">
        <v>404</v>
      </c>
    </row>
    <row r="90" spans="1:3" x14ac:dyDescent="0.25">
      <c r="A90" s="52" t="s">
        <v>384</v>
      </c>
      <c r="B90" s="52" t="s">
        <v>405</v>
      </c>
      <c r="C90" s="52" t="s">
        <v>406</v>
      </c>
    </row>
    <row r="91" spans="1:3" x14ac:dyDescent="0.25">
      <c r="A91" s="52" t="s">
        <v>384</v>
      </c>
      <c r="B91" s="52" t="s">
        <v>407</v>
      </c>
      <c r="C91" s="52" t="s">
        <v>408</v>
      </c>
    </row>
    <row r="92" spans="1:3" x14ac:dyDescent="0.25">
      <c r="A92" s="52" t="s">
        <v>384</v>
      </c>
      <c r="B92" s="52" t="s">
        <v>409</v>
      </c>
      <c r="C92" s="52" t="s">
        <v>410</v>
      </c>
    </row>
    <row r="93" spans="1:3" x14ac:dyDescent="0.25">
      <c r="A93" s="52" t="s">
        <v>384</v>
      </c>
      <c r="B93" s="52" t="s">
        <v>411</v>
      </c>
      <c r="C93" s="52" t="s">
        <v>412</v>
      </c>
    </row>
    <row r="94" spans="1:3" x14ac:dyDescent="0.25">
      <c r="A94" s="52" t="s">
        <v>384</v>
      </c>
      <c r="B94" s="52" t="s">
        <v>413</v>
      </c>
      <c r="C94" s="52" t="s">
        <v>414</v>
      </c>
    </row>
    <row r="95" spans="1:3" x14ac:dyDescent="0.25">
      <c r="A95" s="52" t="s">
        <v>384</v>
      </c>
      <c r="B95" s="52" t="s">
        <v>415</v>
      </c>
      <c r="C95" s="52" t="s">
        <v>416</v>
      </c>
    </row>
    <row r="96" spans="1:3" x14ac:dyDescent="0.25">
      <c r="A96" s="52" t="s">
        <v>384</v>
      </c>
      <c r="B96" s="52" t="s">
        <v>417</v>
      </c>
      <c r="C96" s="52" t="s">
        <v>418</v>
      </c>
    </row>
    <row r="97" spans="1:3" x14ac:dyDescent="0.25">
      <c r="A97" s="52" t="s">
        <v>384</v>
      </c>
      <c r="B97" s="52" t="s">
        <v>419</v>
      </c>
      <c r="C97" s="52" t="s">
        <v>420</v>
      </c>
    </row>
    <row r="98" spans="1:3" x14ac:dyDescent="0.25">
      <c r="A98" s="52" t="s">
        <v>384</v>
      </c>
      <c r="B98" s="398" t="s">
        <v>421</v>
      </c>
      <c r="C98" s="398" t="s">
        <v>422</v>
      </c>
    </row>
    <row r="99" spans="1:3" x14ac:dyDescent="0.25">
      <c r="A99" s="52" t="s">
        <v>384</v>
      </c>
      <c r="B99" s="52" t="s">
        <v>423</v>
      </c>
      <c r="C99" s="52" t="s">
        <v>424</v>
      </c>
    </row>
    <row r="100" spans="1:3" x14ac:dyDescent="0.25">
      <c r="A100" s="52" t="s">
        <v>384</v>
      </c>
      <c r="B100" s="52" t="s">
        <v>425</v>
      </c>
      <c r="C100" s="52" t="s">
        <v>426</v>
      </c>
    </row>
    <row r="101" spans="1:3" x14ac:dyDescent="0.25">
      <c r="A101" s="52" t="s">
        <v>384</v>
      </c>
      <c r="B101" s="52" t="s">
        <v>427</v>
      </c>
      <c r="C101" s="52" t="s">
        <v>428</v>
      </c>
    </row>
    <row r="102" spans="1:3" x14ac:dyDescent="0.25">
      <c r="A102" s="52" t="s">
        <v>384</v>
      </c>
      <c r="B102" s="398" t="s">
        <v>429</v>
      </c>
      <c r="C102" s="398" t="s">
        <v>430</v>
      </c>
    </row>
    <row r="103" spans="1:3" x14ac:dyDescent="0.25">
      <c r="A103" s="52" t="s">
        <v>431</v>
      </c>
      <c r="B103" s="52" t="s">
        <v>432</v>
      </c>
      <c r="C103" s="52" t="s">
        <v>433</v>
      </c>
    </row>
    <row r="104" spans="1:3" x14ac:dyDescent="0.25">
      <c r="A104" s="52" t="s">
        <v>431</v>
      </c>
      <c r="B104" s="52" t="s">
        <v>434</v>
      </c>
      <c r="C104" s="52" t="s">
        <v>435</v>
      </c>
    </row>
    <row r="105" spans="1:3" x14ac:dyDescent="0.25">
      <c r="A105" s="52" t="s">
        <v>431</v>
      </c>
      <c r="B105" s="52" t="s">
        <v>436</v>
      </c>
      <c r="C105" s="52" t="s">
        <v>437</v>
      </c>
    </row>
    <row r="106" spans="1:3" x14ac:dyDescent="0.25">
      <c r="A106" s="52" t="s">
        <v>431</v>
      </c>
      <c r="B106" s="52" t="s">
        <v>438</v>
      </c>
      <c r="C106" s="52" t="s">
        <v>439</v>
      </c>
    </row>
    <row r="107" spans="1:3" x14ac:dyDescent="0.25">
      <c r="A107" s="52" t="s">
        <v>431</v>
      </c>
      <c r="B107" s="52" t="s">
        <v>440</v>
      </c>
      <c r="C107" s="52" t="s">
        <v>441</v>
      </c>
    </row>
    <row r="108" spans="1:3" x14ac:dyDescent="0.25">
      <c r="A108" s="52" t="s">
        <v>431</v>
      </c>
      <c r="B108" s="52" t="s">
        <v>442</v>
      </c>
      <c r="C108" s="52" t="s">
        <v>443</v>
      </c>
    </row>
    <row r="109" spans="1:3" x14ac:dyDescent="0.25">
      <c r="A109" s="52" t="s">
        <v>431</v>
      </c>
      <c r="B109" s="52" t="s">
        <v>444</v>
      </c>
      <c r="C109" s="52" t="s">
        <v>445</v>
      </c>
    </row>
    <row r="110" spans="1:3" x14ac:dyDescent="0.25">
      <c r="A110" s="52" t="s">
        <v>446</v>
      </c>
      <c r="B110" s="52" t="s">
        <v>447</v>
      </c>
      <c r="C110" s="52" t="s">
        <v>448</v>
      </c>
    </row>
    <row r="111" spans="1:3" x14ac:dyDescent="0.25">
      <c r="A111" s="52" t="s">
        <v>446</v>
      </c>
      <c r="B111" s="52" t="s">
        <v>449</v>
      </c>
      <c r="C111" s="52" t="s">
        <v>450</v>
      </c>
    </row>
    <row r="112" spans="1:3" x14ac:dyDescent="0.25">
      <c r="A112" s="52" t="s">
        <v>446</v>
      </c>
      <c r="B112" s="52" t="s">
        <v>451</v>
      </c>
      <c r="C112" s="52" t="s">
        <v>452</v>
      </c>
    </row>
    <row r="113" spans="1:3" x14ac:dyDescent="0.25">
      <c r="A113" s="52" t="s">
        <v>446</v>
      </c>
      <c r="B113" s="52" t="s">
        <v>453</v>
      </c>
      <c r="C113" s="52" t="s">
        <v>454</v>
      </c>
    </row>
    <row r="114" spans="1:3" x14ac:dyDescent="0.25">
      <c r="A114" s="52" t="s">
        <v>446</v>
      </c>
      <c r="B114" s="52" t="s">
        <v>455</v>
      </c>
      <c r="C114" s="52" t="s">
        <v>456</v>
      </c>
    </row>
    <row r="115" spans="1:3" x14ac:dyDescent="0.25">
      <c r="A115" s="52" t="s">
        <v>446</v>
      </c>
      <c r="B115" s="52" t="s">
        <v>457</v>
      </c>
      <c r="C115" s="52" t="s">
        <v>458</v>
      </c>
    </row>
    <row r="116" spans="1:3" x14ac:dyDescent="0.25">
      <c r="A116" s="52" t="s">
        <v>446</v>
      </c>
      <c r="B116" s="52" t="s">
        <v>459</v>
      </c>
      <c r="C116" s="52" t="s">
        <v>460</v>
      </c>
    </row>
    <row r="117" spans="1:3" x14ac:dyDescent="0.25">
      <c r="A117" s="52" t="s">
        <v>446</v>
      </c>
      <c r="B117" s="52" t="s">
        <v>461</v>
      </c>
      <c r="C117" s="52" t="s">
        <v>462</v>
      </c>
    </row>
    <row r="118" spans="1:3" x14ac:dyDescent="0.25">
      <c r="A118" s="52" t="s">
        <v>446</v>
      </c>
      <c r="B118" s="52" t="s">
        <v>463</v>
      </c>
      <c r="C118" s="52" t="s">
        <v>464</v>
      </c>
    </row>
    <row r="119" spans="1:3" x14ac:dyDescent="0.25">
      <c r="A119" s="52" t="s">
        <v>446</v>
      </c>
      <c r="B119" s="52" t="s">
        <v>465</v>
      </c>
      <c r="C119" s="52" t="s">
        <v>466</v>
      </c>
    </row>
    <row r="120" spans="1:3" x14ac:dyDescent="0.25">
      <c r="A120" s="52" t="s">
        <v>446</v>
      </c>
      <c r="B120" s="52" t="s">
        <v>467</v>
      </c>
      <c r="C120" s="52" t="s">
        <v>468</v>
      </c>
    </row>
    <row r="121" spans="1:3" x14ac:dyDescent="0.25">
      <c r="A121" s="52" t="s">
        <v>446</v>
      </c>
      <c r="B121" s="52" t="s">
        <v>469</v>
      </c>
      <c r="C121" s="52" t="s">
        <v>470</v>
      </c>
    </row>
    <row r="122" spans="1:3" x14ac:dyDescent="0.25">
      <c r="A122" s="52" t="s">
        <v>446</v>
      </c>
      <c r="B122" s="52" t="s">
        <v>471</v>
      </c>
      <c r="C122" s="52" t="s">
        <v>472</v>
      </c>
    </row>
    <row r="123" spans="1:3" x14ac:dyDescent="0.25">
      <c r="A123" s="52" t="s">
        <v>473</v>
      </c>
      <c r="B123" s="52" t="s">
        <v>474</v>
      </c>
      <c r="C123" s="52" t="s">
        <v>475</v>
      </c>
    </row>
    <row r="124" spans="1:3" x14ac:dyDescent="0.25">
      <c r="A124" s="52" t="s">
        <v>473</v>
      </c>
      <c r="B124" s="52" t="s">
        <v>476</v>
      </c>
      <c r="C124" s="52" t="s">
        <v>477</v>
      </c>
    </row>
    <row r="125" spans="1:3" x14ac:dyDescent="0.25">
      <c r="A125" s="52" t="s">
        <v>473</v>
      </c>
      <c r="B125" s="52" t="s">
        <v>478</v>
      </c>
      <c r="C125" s="52" t="s">
        <v>479</v>
      </c>
    </row>
    <row r="126" spans="1:3" x14ac:dyDescent="0.25">
      <c r="A126" s="52" t="s">
        <v>473</v>
      </c>
      <c r="B126" s="52" t="s">
        <v>480</v>
      </c>
      <c r="C126" s="52" t="s">
        <v>481</v>
      </c>
    </row>
    <row r="127" spans="1:3" x14ac:dyDescent="0.25">
      <c r="A127" s="52" t="s">
        <v>473</v>
      </c>
      <c r="B127" s="52" t="s">
        <v>482</v>
      </c>
      <c r="C127" s="52" t="s">
        <v>483</v>
      </c>
    </row>
    <row r="128" spans="1:3" x14ac:dyDescent="0.25">
      <c r="A128" s="52" t="s">
        <v>473</v>
      </c>
      <c r="B128" s="52" t="s">
        <v>484</v>
      </c>
      <c r="C128" s="52" t="s">
        <v>485</v>
      </c>
    </row>
    <row r="129" spans="1:3" x14ac:dyDescent="0.25">
      <c r="A129" s="52" t="s">
        <v>473</v>
      </c>
      <c r="B129" s="52" t="s">
        <v>486</v>
      </c>
      <c r="C129" s="52" t="s">
        <v>487</v>
      </c>
    </row>
    <row r="130" spans="1:3" x14ac:dyDescent="0.25">
      <c r="A130" s="52" t="s">
        <v>473</v>
      </c>
      <c r="B130" s="52" t="s">
        <v>488</v>
      </c>
      <c r="C130" s="52" t="s">
        <v>489</v>
      </c>
    </row>
    <row r="131" spans="1:3" x14ac:dyDescent="0.25">
      <c r="A131" s="52" t="s">
        <v>473</v>
      </c>
      <c r="B131" s="52" t="s">
        <v>490</v>
      </c>
      <c r="C131" s="52" t="s">
        <v>491</v>
      </c>
    </row>
    <row r="132" spans="1:3" x14ac:dyDescent="0.25">
      <c r="A132" s="52" t="s">
        <v>473</v>
      </c>
      <c r="B132" s="52" t="s">
        <v>492</v>
      </c>
      <c r="C132" s="52" t="s">
        <v>493</v>
      </c>
    </row>
    <row r="133" spans="1:3" x14ac:dyDescent="0.25">
      <c r="A133" s="52" t="s">
        <v>473</v>
      </c>
      <c r="B133" s="52" t="s">
        <v>494</v>
      </c>
      <c r="C133" s="52" t="s">
        <v>495</v>
      </c>
    </row>
    <row r="134" spans="1:3" x14ac:dyDescent="0.25">
      <c r="A134" s="52" t="s">
        <v>473</v>
      </c>
      <c r="B134" s="52" t="s">
        <v>496</v>
      </c>
      <c r="C134" s="52" t="s">
        <v>497</v>
      </c>
    </row>
    <row r="135" spans="1:3" x14ac:dyDescent="0.25">
      <c r="A135" s="52" t="s">
        <v>473</v>
      </c>
      <c r="B135" s="52" t="s">
        <v>498</v>
      </c>
      <c r="C135" s="52" t="s">
        <v>499</v>
      </c>
    </row>
    <row r="136" spans="1:3" x14ac:dyDescent="0.25">
      <c r="A136" s="52" t="s">
        <v>473</v>
      </c>
      <c r="B136" s="52" t="s">
        <v>500</v>
      </c>
      <c r="C136" s="52" t="s">
        <v>501</v>
      </c>
    </row>
    <row r="137" spans="1:3" x14ac:dyDescent="0.25">
      <c r="A137" s="52" t="s">
        <v>473</v>
      </c>
      <c r="B137" s="52" t="s">
        <v>502</v>
      </c>
      <c r="C137" s="52" t="s">
        <v>503</v>
      </c>
    </row>
    <row r="138" spans="1:3" x14ac:dyDescent="0.25">
      <c r="A138" s="52" t="s">
        <v>473</v>
      </c>
      <c r="B138" s="52" t="s">
        <v>504</v>
      </c>
      <c r="C138" s="52" t="s">
        <v>505</v>
      </c>
    </row>
    <row r="139" spans="1:3" x14ac:dyDescent="0.25">
      <c r="A139" s="52" t="s">
        <v>473</v>
      </c>
      <c r="B139" s="52" t="s">
        <v>506</v>
      </c>
      <c r="C139" s="52" t="s">
        <v>507</v>
      </c>
    </row>
    <row r="140" spans="1:3" x14ac:dyDescent="0.25">
      <c r="A140" s="52" t="s">
        <v>473</v>
      </c>
      <c r="B140" s="52" t="s">
        <v>317</v>
      </c>
      <c r="C140" s="52" t="s">
        <v>508</v>
      </c>
    </row>
    <row r="141" spans="1:3" x14ac:dyDescent="0.25">
      <c r="A141" s="52" t="s">
        <v>473</v>
      </c>
      <c r="B141" s="52" t="s">
        <v>509</v>
      </c>
      <c r="C141" s="52" t="s">
        <v>510</v>
      </c>
    </row>
    <row r="142" spans="1:3" x14ac:dyDescent="0.25">
      <c r="A142" s="52" t="s">
        <v>473</v>
      </c>
      <c r="B142" s="52" t="s">
        <v>511</v>
      </c>
      <c r="C142" s="52" t="s">
        <v>512</v>
      </c>
    </row>
    <row r="143" spans="1:3" x14ac:dyDescent="0.25">
      <c r="A143" s="52" t="s">
        <v>473</v>
      </c>
      <c r="B143" s="398" t="s">
        <v>513</v>
      </c>
      <c r="C143" s="398" t="s">
        <v>514</v>
      </c>
    </row>
    <row r="144" spans="1:3" x14ac:dyDescent="0.25">
      <c r="A144" s="52" t="s">
        <v>515</v>
      </c>
      <c r="B144" s="52" t="s">
        <v>516</v>
      </c>
      <c r="C144" s="52" t="s">
        <v>517</v>
      </c>
    </row>
    <row r="145" spans="1:3" x14ac:dyDescent="0.25">
      <c r="A145" s="52" t="s">
        <v>515</v>
      </c>
      <c r="B145" s="52" t="s">
        <v>518</v>
      </c>
      <c r="C145" s="52" t="s">
        <v>519</v>
      </c>
    </row>
    <row r="146" spans="1:3" x14ac:dyDescent="0.25">
      <c r="A146" s="52" t="s">
        <v>515</v>
      </c>
      <c r="B146" s="52" t="s">
        <v>520</v>
      </c>
      <c r="C146" s="52" t="s">
        <v>521</v>
      </c>
    </row>
    <row r="147" spans="1:3" x14ac:dyDescent="0.25">
      <c r="A147" s="52" t="s">
        <v>515</v>
      </c>
      <c r="B147" s="52" t="s">
        <v>522</v>
      </c>
      <c r="C147" s="52" t="s">
        <v>523</v>
      </c>
    </row>
    <row r="148" spans="1:3" x14ac:dyDescent="0.25">
      <c r="A148" s="52" t="s">
        <v>515</v>
      </c>
      <c r="B148" s="52" t="s">
        <v>524</v>
      </c>
      <c r="C148" s="52" t="s">
        <v>525</v>
      </c>
    </row>
    <row r="149" spans="1:3" x14ac:dyDescent="0.25">
      <c r="A149" s="52" t="s">
        <v>515</v>
      </c>
      <c r="B149" s="52" t="s">
        <v>526</v>
      </c>
      <c r="C149" s="52" t="s">
        <v>527</v>
      </c>
    </row>
    <row r="150" spans="1:3" x14ac:dyDescent="0.25">
      <c r="A150" s="52" t="s">
        <v>515</v>
      </c>
      <c r="B150" s="52" t="s">
        <v>528</v>
      </c>
      <c r="C150" s="52" t="s">
        <v>529</v>
      </c>
    </row>
    <row r="151" spans="1:3" x14ac:dyDescent="0.25">
      <c r="A151" s="52" t="s">
        <v>515</v>
      </c>
      <c r="B151" s="52" t="s">
        <v>530</v>
      </c>
      <c r="C151" s="52" t="s">
        <v>531</v>
      </c>
    </row>
    <row r="152" spans="1:3" x14ac:dyDescent="0.25">
      <c r="A152" s="52" t="s">
        <v>515</v>
      </c>
      <c r="B152" s="52" t="s">
        <v>532</v>
      </c>
      <c r="C152" s="52" t="s">
        <v>533</v>
      </c>
    </row>
    <row r="153" spans="1:3" x14ac:dyDescent="0.25">
      <c r="A153" s="52" t="s">
        <v>515</v>
      </c>
      <c r="B153" s="52" t="s">
        <v>534</v>
      </c>
      <c r="C153" s="52" t="s">
        <v>535</v>
      </c>
    </row>
    <row r="154" spans="1:3" x14ac:dyDescent="0.25">
      <c r="A154" s="52" t="s">
        <v>515</v>
      </c>
      <c r="B154" s="52" t="s">
        <v>536</v>
      </c>
      <c r="C154" s="52" t="s">
        <v>537</v>
      </c>
    </row>
    <row r="155" spans="1:3" x14ac:dyDescent="0.25">
      <c r="A155" s="52" t="s">
        <v>515</v>
      </c>
      <c r="B155" s="52" t="s">
        <v>538</v>
      </c>
      <c r="C155" s="52" t="s">
        <v>539</v>
      </c>
    </row>
    <row r="156" spans="1:3" x14ac:dyDescent="0.25">
      <c r="A156" s="52" t="s">
        <v>515</v>
      </c>
      <c r="B156" s="52" t="s">
        <v>465</v>
      </c>
      <c r="C156" s="52" t="s">
        <v>540</v>
      </c>
    </row>
    <row r="157" spans="1:3" x14ac:dyDescent="0.25">
      <c r="A157" s="52" t="s">
        <v>515</v>
      </c>
      <c r="B157" s="52" t="s">
        <v>541</v>
      </c>
      <c r="C157" s="52" t="s">
        <v>542</v>
      </c>
    </row>
    <row r="158" spans="1:3" x14ac:dyDescent="0.25">
      <c r="A158" s="52" t="s">
        <v>515</v>
      </c>
      <c r="B158" s="52" t="s">
        <v>543</v>
      </c>
      <c r="C158" s="52" t="s">
        <v>544</v>
      </c>
    </row>
    <row r="159" spans="1:3" x14ac:dyDescent="0.25">
      <c r="A159" s="52" t="s">
        <v>515</v>
      </c>
      <c r="B159" s="52" t="s">
        <v>545</v>
      </c>
      <c r="C159" s="52" t="s">
        <v>546</v>
      </c>
    </row>
    <row r="160" spans="1:3" x14ac:dyDescent="0.25">
      <c r="A160" s="52" t="s">
        <v>515</v>
      </c>
      <c r="B160" s="52" t="s">
        <v>547</v>
      </c>
      <c r="C160" s="52" t="s">
        <v>548</v>
      </c>
    </row>
    <row r="161" spans="1:3" x14ac:dyDescent="0.25">
      <c r="A161" s="52" t="s">
        <v>515</v>
      </c>
      <c r="B161" s="52" t="s">
        <v>549</v>
      </c>
      <c r="C161" s="52" t="s">
        <v>550</v>
      </c>
    </row>
    <row r="162" spans="1:3" x14ac:dyDescent="0.25">
      <c r="A162" s="52" t="s">
        <v>515</v>
      </c>
      <c r="B162" s="52" t="s">
        <v>551</v>
      </c>
      <c r="C162" s="52" t="s">
        <v>552</v>
      </c>
    </row>
    <row r="163" spans="1:3" x14ac:dyDescent="0.25">
      <c r="A163" s="52" t="s">
        <v>515</v>
      </c>
      <c r="B163" s="398" t="s">
        <v>553</v>
      </c>
      <c r="C163" s="52" t="s">
        <v>554</v>
      </c>
    </row>
    <row r="164" spans="1:3" x14ac:dyDescent="0.25">
      <c r="A164" s="52" t="s">
        <v>555</v>
      </c>
      <c r="B164" s="52" t="s">
        <v>556</v>
      </c>
      <c r="C164" s="52" t="s">
        <v>557</v>
      </c>
    </row>
    <row r="165" spans="1:3" x14ac:dyDescent="0.25">
      <c r="A165" s="52" t="s">
        <v>555</v>
      </c>
      <c r="B165" s="52" t="s">
        <v>558</v>
      </c>
      <c r="C165" s="52" t="s">
        <v>559</v>
      </c>
    </row>
    <row r="166" spans="1:3" x14ac:dyDescent="0.25">
      <c r="A166" s="52" t="s">
        <v>555</v>
      </c>
      <c r="B166" s="52" t="s">
        <v>560</v>
      </c>
      <c r="C166" s="52" t="s">
        <v>561</v>
      </c>
    </row>
    <row r="167" spans="1:3" x14ac:dyDescent="0.25">
      <c r="A167" s="52" t="s">
        <v>555</v>
      </c>
      <c r="B167" s="52" t="s">
        <v>562</v>
      </c>
      <c r="C167" s="52" t="s">
        <v>563</v>
      </c>
    </row>
    <row r="168" spans="1:3" x14ac:dyDescent="0.25">
      <c r="A168" s="52" t="s">
        <v>555</v>
      </c>
      <c r="B168" s="52" t="s">
        <v>564</v>
      </c>
      <c r="C168" s="52" t="s">
        <v>565</v>
      </c>
    </row>
    <row r="169" spans="1:3" x14ac:dyDescent="0.25">
      <c r="A169" s="52" t="s">
        <v>555</v>
      </c>
      <c r="B169" s="52" t="s">
        <v>566</v>
      </c>
      <c r="C169" s="52" t="s">
        <v>567</v>
      </c>
    </row>
    <row r="170" spans="1:3" x14ac:dyDescent="0.25">
      <c r="A170" s="52" t="s">
        <v>555</v>
      </c>
      <c r="B170" s="52" t="s">
        <v>568</v>
      </c>
      <c r="C170" s="52" t="s">
        <v>569</v>
      </c>
    </row>
    <row r="171" spans="1:3" x14ac:dyDescent="0.25">
      <c r="A171" s="52" t="s">
        <v>555</v>
      </c>
      <c r="B171" s="52" t="s">
        <v>570</v>
      </c>
      <c r="C171" s="52" t="s">
        <v>571</v>
      </c>
    </row>
    <row r="172" spans="1:3" x14ac:dyDescent="0.25">
      <c r="A172" s="52" t="s">
        <v>555</v>
      </c>
      <c r="B172" s="52" t="s">
        <v>572</v>
      </c>
      <c r="C172" s="52" t="s">
        <v>573</v>
      </c>
    </row>
    <row r="173" spans="1:3" x14ac:dyDescent="0.25">
      <c r="A173" s="52" t="s">
        <v>555</v>
      </c>
      <c r="B173" s="52" t="s">
        <v>574</v>
      </c>
      <c r="C173" s="52" t="s">
        <v>575</v>
      </c>
    </row>
    <row r="174" spans="1:3" x14ac:dyDescent="0.25">
      <c r="A174" s="52" t="s">
        <v>555</v>
      </c>
      <c r="B174" s="52" t="s">
        <v>576</v>
      </c>
      <c r="C174" s="52" t="s">
        <v>577</v>
      </c>
    </row>
    <row r="175" spans="1:3" x14ac:dyDescent="0.25">
      <c r="A175" s="52" t="s">
        <v>555</v>
      </c>
      <c r="B175" s="52" t="s">
        <v>578</v>
      </c>
      <c r="C175" s="52" t="s">
        <v>579</v>
      </c>
    </row>
    <row r="176" spans="1:3" x14ac:dyDescent="0.25">
      <c r="A176" s="52" t="s">
        <v>555</v>
      </c>
      <c r="B176" s="52" t="s">
        <v>580</v>
      </c>
      <c r="C176" s="52" t="s">
        <v>581</v>
      </c>
    </row>
    <row r="177" spans="1:3" x14ac:dyDescent="0.25">
      <c r="A177" s="52" t="s">
        <v>582</v>
      </c>
      <c r="B177" s="52" t="s">
        <v>583</v>
      </c>
      <c r="C177" s="52" t="s">
        <v>584</v>
      </c>
    </row>
    <row r="178" spans="1:3" x14ac:dyDescent="0.25">
      <c r="A178" s="52" t="s">
        <v>582</v>
      </c>
      <c r="B178" s="52" t="s">
        <v>585</v>
      </c>
      <c r="C178" s="52" t="s">
        <v>586</v>
      </c>
    </row>
    <row r="179" spans="1:3" x14ac:dyDescent="0.25">
      <c r="A179" s="52" t="s">
        <v>582</v>
      </c>
      <c r="B179" s="52" t="s">
        <v>587</v>
      </c>
      <c r="C179" s="52" t="s">
        <v>588</v>
      </c>
    </row>
    <row r="180" spans="1:3" x14ac:dyDescent="0.25">
      <c r="A180" s="52" t="s">
        <v>582</v>
      </c>
      <c r="B180" s="52" t="s">
        <v>589</v>
      </c>
      <c r="C180" s="52" t="s">
        <v>590</v>
      </c>
    </row>
    <row r="181" spans="1:3" x14ac:dyDescent="0.25">
      <c r="A181" s="52" t="s">
        <v>582</v>
      </c>
      <c r="B181" s="52" t="s">
        <v>591</v>
      </c>
      <c r="C181" s="52" t="s">
        <v>592</v>
      </c>
    </row>
    <row r="182" spans="1:3" x14ac:dyDescent="0.25">
      <c r="A182" s="52" t="s">
        <v>582</v>
      </c>
      <c r="B182" s="52" t="s">
        <v>593</v>
      </c>
      <c r="C182" s="52" t="s">
        <v>594</v>
      </c>
    </row>
    <row r="183" spans="1:3" x14ac:dyDescent="0.25">
      <c r="A183" s="52" t="s">
        <v>582</v>
      </c>
      <c r="B183" s="52" t="s">
        <v>595</v>
      </c>
      <c r="C183" s="52" t="s">
        <v>596</v>
      </c>
    </row>
    <row r="184" spans="1:3" x14ac:dyDescent="0.25">
      <c r="A184" s="52" t="s">
        <v>582</v>
      </c>
      <c r="B184" s="52" t="s">
        <v>597</v>
      </c>
      <c r="C184" s="52" t="s">
        <v>598</v>
      </c>
    </row>
    <row r="185" spans="1:3" x14ac:dyDescent="0.25">
      <c r="A185" s="52" t="s">
        <v>599</v>
      </c>
      <c r="B185" s="52" t="s">
        <v>600</v>
      </c>
      <c r="C185" s="52" t="s">
        <v>601</v>
      </c>
    </row>
    <row r="186" spans="1:3" x14ac:dyDescent="0.25">
      <c r="A186" s="52" t="s">
        <v>599</v>
      </c>
      <c r="B186" s="52" t="s">
        <v>602</v>
      </c>
      <c r="C186" s="52" t="s">
        <v>603</v>
      </c>
    </row>
    <row r="187" spans="1:3" x14ac:dyDescent="0.25">
      <c r="A187" s="52" t="s">
        <v>599</v>
      </c>
      <c r="B187" s="52" t="s">
        <v>604</v>
      </c>
      <c r="C187" s="52" t="s">
        <v>605</v>
      </c>
    </row>
    <row r="188" spans="1:3" x14ac:dyDescent="0.25">
      <c r="A188" s="52" t="s">
        <v>599</v>
      </c>
      <c r="B188" s="52" t="s">
        <v>606</v>
      </c>
      <c r="C188" s="52" t="s">
        <v>607</v>
      </c>
    </row>
    <row r="189" spans="1:3" x14ac:dyDescent="0.25">
      <c r="A189" s="52" t="s">
        <v>599</v>
      </c>
      <c r="B189" s="52" t="s">
        <v>608</v>
      </c>
      <c r="C189" s="52" t="s">
        <v>609</v>
      </c>
    </row>
    <row r="190" spans="1:3" x14ac:dyDescent="0.25">
      <c r="A190" s="52" t="s">
        <v>599</v>
      </c>
      <c r="B190" s="52" t="s">
        <v>610</v>
      </c>
      <c r="C190" s="52" t="s">
        <v>611</v>
      </c>
    </row>
    <row r="191" spans="1:3" x14ac:dyDescent="0.25">
      <c r="A191" s="52" t="s">
        <v>599</v>
      </c>
      <c r="B191" s="52" t="s">
        <v>612</v>
      </c>
      <c r="C191" s="52" t="s">
        <v>613</v>
      </c>
    </row>
    <row r="192" spans="1:3" x14ac:dyDescent="0.25">
      <c r="A192" s="52" t="s">
        <v>599</v>
      </c>
      <c r="B192" s="52" t="s">
        <v>614</v>
      </c>
      <c r="C192" s="52" t="s">
        <v>615</v>
      </c>
    </row>
    <row r="193" spans="1:3" x14ac:dyDescent="0.25">
      <c r="A193" s="52" t="s">
        <v>599</v>
      </c>
      <c r="B193" s="52" t="s">
        <v>616</v>
      </c>
      <c r="C193" s="52" t="s">
        <v>617</v>
      </c>
    </row>
    <row r="194" spans="1:3" x14ac:dyDescent="0.25">
      <c r="A194" s="52" t="s">
        <v>599</v>
      </c>
      <c r="B194" s="398" t="s">
        <v>618</v>
      </c>
      <c r="C194" s="52" t="s">
        <v>619</v>
      </c>
    </row>
    <row r="195" spans="1:3" x14ac:dyDescent="0.25">
      <c r="A195" s="52" t="s">
        <v>599</v>
      </c>
      <c r="B195" s="52" t="s">
        <v>620</v>
      </c>
      <c r="C195" s="52" t="s">
        <v>621</v>
      </c>
    </row>
    <row r="196" spans="1:3" x14ac:dyDescent="0.25">
      <c r="A196" s="52" t="s">
        <v>599</v>
      </c>
      <c r="B196" s="398" t="s">
        <v>622</v>
      </c>
      <c r="C196" s="52" t="s">
        <v>623</v>
      </c>
    </row>
    <row r="197" spans="1:3" x14ac:dyDescent="0.25">
      <c r="A197" s="52" t="s">
        <v>599</v>
      </c>
      <c r="B197" s="52" t="s">
        <v>624</v>
      </c>
      <c r="C197" s="52" t="s">
        <v>625</v>
      </c>
    </row>
    <row r="198" spans="1:3" x14ac:dyDescent="0.25">
      <c r="A198" s="52" t="s">
        <v>599</v>
      </c>
      <c r="B198" s="52" t="s">
        <v>626</v>
      </c>
      <c r="C198" s="52" t="s">
        <v>627</v>
      </c>
    </row>
    <row r="199" spans="1:3" x14ac:dyDescent="0.25">
      <c r="A199" s="52" t="s">
        <v>628</v>
      </c>
      <c r="B199" s="52" t="s">
        <v>629</v>
      </c>
      <c r="C199" s="52" t="s">
        <v>630</v>
      </c>
    </row>
    <row r="200" spans="1:3" x14ac:dyDescent="0.25">
      <c r="A200" s="52" t="s">
        <v>628</v>
      </c>
      <c r="B200" s="52" t="s">
        <v>631</v>
      </c>
      <c r="C200" s="52" t="s">
        <v>632</v>
      </c>
    </row>
    <row r="201" spans="1:3" x14ac:dyDescent="0.25">
      <c r="A201" s="52" t="s">
        <v>628</v>
      </c>
      <c r="B201" s="52" t="s">
        <v>633</v>
      </c>
      <c r="C201" s="52" t="s">
        <v>634</v>
      </c>
    </row>
    <row r="202" spans="1:3" x14ac:dyDescent="0.25">
      <c r="A202" s="52" t="s">
        <v>628</v>
      </c>
      <c r="B202" s="52" t="s">
        <v>635</v>
      </c>
      <c r="C202" s="52" t="s">
        <v>636</v>
      </c>
    </row>
    <row r="203" spans="1:3" x14ac:dyDescent="0.25">
      <c r="A203" s="52" t="s">
        <v>628</v>
      </c>
      <c r="B203" s="52" t="s">
        <v>637</v>
      </c>
      <c r="C203" s="52" t="s">
        <v>638</v>
      </c>
    </row>
    <row r="204" spans="1:3" x14ac:dyDescent="0.25">
      <c r="A204" s="52" t="s">
        <v>628</v>
      </c>
      <c r="B204" s="52" t="s">
        <v>639</v>
      </c>
      <c r="C204" s="52" t="s">
        <v>640</v>
      </c>
    </row>
    <row r="205" spans="1:3" x14ac:dyDescent="0.25">
      <c r="A205" s="52" t="s">
        <v>628</v>
      </c>
      <c r="B205" s="52" t="s">
        <v>641</v>
      </c>
      <c r="C205" s="52" t="s">
        <v>642</v>
      </c>
    </row>
    <row r="206" spans="1:3" x14ac:dyDescent="0.25">
      <c r="A206" s="52" t="s">
        <v>628</v>
      </c>
      <c r="B206" s="52" t="s">
        <v>643</v>
      </c>
      <c r="C206" s="52" t="s">
        <v>644</v>
      </c>
    </row>
    <row r="207" spans="1:3" x14ac:dyDescent="0.25">
      <c r="A207" s="52" t="s">
        <v>628</v>
      </c>
      <c r="B207" s="52" t="s">
        <v>645</v>
      </c>
      <c r="C207" s="52" t="s">
        <v>646</v>
      </c>
    </row>
    <row r="208" spans="1:3" x14ac:dyDescent="0.25">
      <c r="A208" s="52" t="s">
        <v>628</v>
      </c>
      <c r="B208" s="52" t="s">
        <v>647</v>
      </c>
      <c r="C208" s="52" t="s">
        <v>648</v>
      </c>
    </row>
    <row r="209" spans="1:3" x14ac:dyDescent="0.25">
      <c r="A209" s="52" t="s">
        <v>628</v>
      </c>
      <c r="B209" s="52" t="s">
        <v>649</v>
      </c>
      <c r="C209" s="52" t="s">
        <v>650</v>
      </c>
    </row>
    <row r="210" spans="1:3" x14ac:dyDescent="0.25">
      <c r="A210" s="52" t="s">
        <v>651</v>
      </c>
      <c r="B210" s="52" t="s">
        <v>652</v>
      </c>
      <c r="C210" s="52" t="s">
        <v>653</v>
      </c>
    </row>
    <row r="211" spans="1:3" x14ac:dyDescent="0.25">
      <c r="A211" s="52" t="s">
        <v>651</v>
      </c>
      <c r="B211" s="52" t="s">
        <v>654</v>
      </c>
      <c r="C211" s="52" t="s">
        <v>655</v>
      </c>
    </row>
    <row r="212" spans="1:3" x14ac:dyDescent="0.25">
      <c r="A212" s="52" t="s">
        <v>651</v>
      </c>
      <c r="B212" s="52" t="s">
        <v>656</v>
      </c>
      <c r="C212" s="52" t="s">
        <v>657</v>
      </c>
    </row>
    <row r="213" spans="1:3" x14ac:dyDescent="0.25">
      <c r="A213" s="52" t="s">
        <v>651</v>
      </c>
      <c r="B213" s="52" t="s">
        <v>658</v>
      </c>
      <c r="C213" s="52" t="s">
        <v>659</v>
      </c>
    </row>
    <row r="214" spans="1:3" x14ac:dyDescent="0.25">
      <c r="A214" s="52" t="s">
        <v>651</v>
      </c>
      <c r="B214" s="52" t="s">
        <v>660</v>
      </c>
      <c r="C214" s="52" t="s">
        <v>661</v>
      </c>
    </row>
    <row r="215" spans="1:3" x14ac:dyDescent="0.25">
      <c r="A215" s="52" t="s">
        <v>651</v>
      </c>
      <c r="B215" s="52" t="s">
        <v>662</v>
      </c>
      <c r="C215" s="52" t="s">
        <v>663</v>
      </c>
    </row>
    <row r="216" spans="1:3" x14ac:dyDescent="0.25">
      <c r="A216" s="52" t="s">
        <v>651</v>
      </c>
      <c r="B216" s="52" t="s">
        <v>664</v>
      </c>
      <c r="C216" s="52" t="s">
        <v>665</v>
      </c>
    </row>
    <row r="217" spans="1:3" x14ac:dyDescent="0.25">
      <c r="A217" s="52" t="s">
        <v>651</v>
      </c>
      <c r="B217" s="52" t="s">
        <v>666</v>
      </c>
      <c r="C217" s="52" t="s">
        <v>667</v>
      </c>
    </row>
    <row r="218" spans="1:3" x14ac:dyDescent="0.25">
      <c r="A218" s="52" t="s">
        <v>668</v>
      </c>
      <c r="B218" s="52" t="s">
        <v>669</v>
      </c>
      <c r="C218" s="52" t="s">
        <v>670</v>
      </c>
    </row>
    <row r="219" spans="1:3" x14ac:dyDescent="0.25">
      <c r="A219" s="52" t="s">
        <v>668</v>
      </c>
      <c r="B219" s="52" t="s">
        <v>671</v>
      </c>
      <c r="C219" s="52" t="s">
        <v>672</v>
      </c>
    </row>
    <row r="220" spans="1:3" x14ac:dyDescent="0.25">
      <c r="A220" s="52" t="s">
        <v>668</v>
      </c>
      <c r="B220" s="52" t="s">
        <v>673</v>
      </c>
      <c r="C220" s="52" t="s">
        <v>674</v>
      </c>
    </row>
    <row r="221" spans="1:3" x14ac:dyDescent="0.25">
      <c r="A221" s="52" t="s">
        <v>668</v>
      </c>
      <c r="B221" s="52" t="s">
        <v>675</v>
      </c>
      <c r="C221" s="52" t="s">
        <v>676</v>
      </c>
    </row>
    <row r="222" spans="1:3" x14ac:dyDescent="0.25">
      <c r="A222" s="52" t="s">
        <v>668</v>
      </c>
      <c r="B222" s="398" t="s">
        <v>677</v>
      </c>
      <c r="C222" s="52" t="s">
        <v>678</v>
      </c>
    </row>
    <row r="223" spans="1:3" x14ac:dyDescent="0.25">
      <c r="A223" s="52" t="s">
        <v>668</v>
      </c>
      <c r="B223" s="52" t="s">
        <v>679</v>
      </c>
      <c r="C223" s="52" t="s">
        <v>680</v>
      </c>
    </row>
    <row r="224" spans="1:3" x14ac:dyDescent="0.25">
      <c r="A224" s="52" t="s">
        <v>668</v>
      </c>
      <c r="B224" s="52" t="s">
        <v>681</v>
      </c>
      <c r="C224" s="52" t="s">
        <v>682</v>
      </c>
    </row>
    <row r="225" spans="1:3" x14ac:dyDescent="0.25">
      <c r="A225" s="52" t="s">
        <v>668</v>
      </c>
      <c r="B225" s="52" t="s">
        <v>683</v>
      </c>
      <c r="C225" s="52" t="s">
        <v>684</v>
      </c>
    </row>
    <row r="226" spans="1:3" x14ac:dyDescent="0.25">
      <c r="A226" s="52" t="s">
        <v>668</v>
      </c>
      <c r="B226" s="52" t="s">
        <v>685</v>
      </c>
      <c r="C226" s="52" t="s">
        <v>686</v>
      </c>
    </row>
    <row r="227" spans="1:3" x14ac:dyDescent="0.25">
      <c r="A227" s="52" t="s">
        <v>668</v>
      </c>
      <c r="B227" s="52" t="s">
        <v>687</v>
      </c>
      <c r="C227" s="52" t="s">
        <v>688</v>
      </c>
    </row>
    <row r="228" spans="1:3" x14ac:dyDescent="0.25">
      <c r="A228" s="52" t="s">
        <v>668</v>
      </c>
      <c r="B228" s="52" t="s">
        <v>689</v>
      </c>
      <c r="C228" s="52" t="s">
        <v>690</v>
      </c>
    </row>
    <row r="229" spans="1:3" x14ac:dyDescent="0.25">
      <c r="A229" s="52" t="s">
        <v>668</v>
      </c>
      <c r="B229" s="52" t="s">
        <v>691</v>
      </c>
      <c r="C229" s="52" t="s">
        <v>692</v>
      </c>
    </row>
  </sheetData>
  <sheetProtection algorithmName="SHA-512" hashValue="kL2yTonqeiDxsMMZMfE+SFqZ4OBcDHHEgxXcL6B4wmFuL2rY4COsNwEbfn3QVKIUYlmr9oVSB8GIPmPxetJQFw==" saltValue="yx9IHW1hylY7s/L9lFHu8g==" spinCount="100000" sheet="1" objects="1" scenarios="1" selectLockedCells="1" selectUnlockedCells="1"/>
  <phoneticPr fontId="31" type="noConversion"/>
  <conditionalFormatting sqref="B1:C1048576">
    <cfRule type="duplicateValues" dxfId="261" priority="1"/>
  </conditionalFormatting>
  <dataValidations count="1">
    <dataValidation type="list" allowBlank="1" showInputMessage="1" showErrorMessage="1" sqref="J2:J42" xr:uid="{1FA7F2BD-818C-5840-BECB-97BDA9062470}">
      <formula1>level_taught_list</formula1>
    </dataValidation>
  </dataValidations>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1A227-F626-4495-88BC-33444302D8ED}">
  <sheetPr codeName="data2_Sheet"/>
  <dimension ref="A1:AK37"/>
  <sheetViews>
    <sheetView zoomScaleNormal="100" workbookViewId="0">
      <selection activeCell="U22" sqref="U22"/>
    </sheetView>
  </sheetViews>
  <sheetFormatPr defaultColWidth="11.42578125" defaultRowHeight="15" x14ac:dyDescent="0.25"/>
  <cols>
    <col min="1" max="1" width="11.42578125" style="50"/>
    <col min="2" max="2" width="15.85546875" style="50" customWidth="1"/>
    <col min="3" max="3" width="11.42578125" style="50"/>
    <col min="4" max="8" width="16.42578125" style="50" customWidth="1"/>
    <col min="9" max="9" width="10.28515625" style="50" bestFit="1" customWidth="1"/>
    <col min="10" max="11" width="16.140625" bestFit="1" customWidth="1"/>
    <col min="12" max="12" width="16.140625" customWidth="1"/>
    <col min="13" max="13" width="11.42578125" bestFit="1" customWidth="1"/>
    <col min="14" max="14" width="22.7109375" bestFit="1" customWidth="1"/>
    <col min="15" max="15" width="16.42578125" bestFit="1" customWidth="1"/>
    <col min="16" max="16" width="6.85546875" bestFit="1" customWidth="1"/>
    <col min="17" max="17" width="17.7109375" bestFit="1" customWidth="1"/>
    <col min="18" max="18" width="30.140625" bestFit="1" customWidth="1"/>
    <col min="19" max="19" width="22.7109375" customWidth="1"/>
    <col min="20" max="20" width="22.28515625" bestFit="1" customWidth="1"/>
    <col min="21" max="21" width="29.7109375" bestFit="1" customWidth="1"/>
    <col min="22" max="22" width="35.140625" bestFit="1" customWidth="1"/>
    <col min="23" max="23" width="18" customWidth="1"/>
    <col min="25" max="25" width="23.85546875" bestFit="1" customWidth="1"/>
    <col min="26" max="26" width="10" customWidth="1"/>
    <col min="27" max="27" width="16.42578125" bestFit="1" customWidth="1"/>
    <col min="28" max="28" width="17.7109375" bestFit="1" customWidth="1"/>
    <col min="31" max="31" width="30.140625" bestFit="1" customWidth="1"/>
  </cols>
  <sheetData>
    <row r="1" spans="1:37" x14ac:dyDescent="0.25">
      <c r="A1" s="55" t="s">
        <v>693</v>
      </c>
      <c r="B1" s="55" t="s">
        <v>694</v>
      </c>
      <c r="C1" s="55" t="s">
        <v>695</v>
      </c>
      <c r="D1" s="55" t="s">
        <v>694</v>
      </c>
      <c r="E1" s="55" t="s">
        <v>56</v>
      </c>
      <c r="F1" s="55" t="s">
        <v>696</v>
      </c>
      <c r="G1" s="55" t="s">
        <v>697</v>
      </c>
      <c r="H1" s="53" t="s">
        <v>698</v>
      </c>
      <c r="I1" s="53" t="s">
        <v>699</v>
      </c>
      <c r="J1" s="53" t="s">
        <v>700</v>
      </c>
      <c r="K1" s="53" t="s">
        <v>701</v>
      </c>
      <c r="L1" s="53"/>
      <c r="M1" s="53" t="s">
        <v>702</v>
      </c>
      <c r="N1" s="53" t="s">
        <v>46</v>
      </c>
      <c r="O1" s="53" t="s">
        <v>51</v>
      </c>
      <c r="P1" s="53" t="s">
        <v>703</v>
      </c>
      <c r="Q1" s="53" t="s">
        <v>704</v>
      </c>
      <c r="R1" s="53" t="s">
        <v>705</v>
      </c>
      <c r="S1" s="53" t="s">
        <v>706</v>
      </c>
      <c r="T1" s="53" t="s">
        <v>707</v>
      </c>
      <c r="U1" s="53" t="s">
        <v>708</v>
      </c>
      <c r="V1" s="53" t="s">
        <v>709</v>
      </c>
      <c r="W1" s="53" t="s">
        <v>7</v>
      </c>
      <c r="X1" s="53" t="s">
        <v>710</v>
      </c>
      <c r="Y1" s="53" t="s">
        <v>6</v>
      </c>
      <c r="Z1" s="53" t="s">
        <v>711</v>
      </c>
      <c r="AA1" s="53" t="s">
        <v>712</v>
      </c>
      <c r="AB1" s="53" t="s">
        <v>713</v>
      </c>
      <c r="AK1" s="53"/>
    </row>
    <row r="2" spans="1:37" x14ac:dyDescent="0.25">
      <c r="A2" s="50">
        <v>8</v>
      </c>
      <c r="B2" s="50">
        <v>5</v>
      </c>
      <c r="C2" s="50">
        <v>7</v>
      </c>
      <c r="D2" s="50">
        <v>5</v>
      </c>
      <c r="E2" s="50">
        <v>0</v>
      </c>
      <c r="F2" s="50" t="s">
        <v>714</v>
      </c>
      <c r="G2" s="50">
        <v>1</v>
      </c>
      <c r="H2" t="s">
        <v>715</v>
      </c>
      <c r="I2" t="s">
        <v>716</v>
      </c>
      <c r="J2" t="s">
        <v>141</v>
      </c>
      <c r="K2" t="s">
        <v>125</v>
      </c>
      <c r="L2" t="s">
        <v>717</v>
      </c>
      <c r="M2" t="s">
        <v>125</v>
      </c>
      <c r="N2" t="s">
        <v>718</v>
      </c>
      <c r="O2" t="s">
        <v>719</v>
      </c>
      <c r="P2" t="s">
        <v>720</v>
      </c>
      <c r="Q2" t="s">
        <v>721</v>
      </c>
      <c r="R2" t="s">
        <v>722</v>
      </c>
      <c r="S2" t="s">
        <v>723</v>
      </c>
      <c r="T2" t="s">
        <v>724</v>
      </c>
      <c r="U2" s="54" t="s">
        <v>725</v>
      </c>
      <c r="V2" t="s">
        <v>726</v>
      </c>
      <c r="W2" t="s">
        <v>727</v>
      </c>
      <c r="X2" t="s">
        <v>728</v>
      </c>
      <c r="Y2" t="s">
        <v>729</v>
      </c>
      <c r="Z2" t="s">
        <v>730</v>
      </c>
      <c r="AA2" t="s">
        <v>731</v>
      </c>
      <c r="AB2" t="str">
        <f>IF(AB5,sy_end,"")</f>
        <v/>
      </c>
    </row>
    <row r="3" spans="1:37" x14ac:dyDescent="0.25">
      <c r="A3" s="50">
        <v>7</v>
      </c>
      <c r="B3" s="50">
        <v>4</v>
      </c>
      <c r="C3" s="50">
        <v>6</v>
      </c>
      <c r="D3" s="50">
        <v>4</v>
      </c>
      <c r="E3" s="50">
        <v>1.5</v>
      </c>
      <c r="F3" s="50" t="s">
        <v>732</v>
      </c>
      <c r="G3" s="50">
        <v>2</v>
      </c>
      <c r="H3" t="s">
        <v>733</v>
      </c>
      <c r="I3" t="s">
        <v>734</v>
      </c>
      <c r="J3" t="s">
        <v>166</v>
      </c>
      <c r="K3" t="s">
        <v>141</v>
      </c>
      <c r="L3" t="s">
        <v>735</v>
      </c>
      <c r="M3" s="54" t="s">
        <v>736</v>
      </c>
      <c r="N3" s="54" t="s">
        <v>737</v>
      </c>
      <c r="O3" s="54" t="s">
        <v>738</v>
      </c>
      <c r="P3" t="s">
        <v>739</v>
      </c>
      <c r="Q3" s="54" t="s">
        <v>740</v>
      </c>
      <c r="R3" t="s">
        <v>741</v>
      </c>
      <c r="S3" t="s">
        <v>742</v>
      </c>
      <c r="T3" t="s">
        <v>743</v>
      </c>
      <c r="U3" s="54" t="s">
        <v>744</v>
      </c>
      <c r="V3" t="s">
        <v>745</v>
      </c>
      <c r="W3" t="s">
        <v>746</v>
      </c>
      <c r="X3" t="s">
        <v>747</v>
      </c>
      <c r="Y3" t="s">
        <v>748</v>
      </c>
      <c r="Z3" t="s">
        <v>749</v>
      </c>
      <c r="AA3" t="s">
        <v>750</v>
      </c>
    </row>
    <row r="4" spans="1:37" x14ac:dyDescent="0.25">
      <c r="A4" s="50">
        <v>6</v>
      </c>
      <c r="B4" s="50">
        <v>3</v>
      </c>
      <c r="C4" s="50">
        <v>5</v>
      </c>
      <c r="D4" s="50">
        <v>3</v>
      </c>
      <c r="E4" s="50">
        <v>2.5</v>
      </c>
      <c r="F4" s="50" t="s">
        <v>751</v>
      </c>
      <c r="G4" s="50">
        <v>3</v>
      </c>
      <c r="I4" t="s">
        <v>752</v>
      </c>
      <c r="J4" t="s">
        <v>199</v>
      </c>
      <c r="K4" t="s">
        <v>166</v>
      </c>
      <c r="L4" t="s">
        <v>753</v>
      </c>
      <c r="M4" t="s">
        <v>754</v>
      </c>
      <c r="N4" t="s">
        <v>755</v>
      </c>
      <c r="O4" t="s">
        <v>756</v>
      </c>
      <c r="Q4" t="s">
        <v>757</v>
      </c>
      <c r="R4" t="s">
        <v>758</v>
      </c>
      <c r="S4" t="s">
        <v>759</v>
      </c>
      <c r="T4" t="s">
        <v>760</v>
      </c>
      <c r="U4" s="54" t="s">
        <v>761</v>
      </c>
      <c r="V4" t="s">
        <v>762</v>
      </c>
      <c r="AB4" s="53" t="s">
        <v>763</v>
      </c>
    </row>
    <row r="5" spans="1:37" x14ac:dyDescent="0.25">
      <c r="A5" s="50">
        <v>5</v>
      </c>
      <c r="B5" s="50">
        <v>2</v>
      </c>
      <c r="C5" s="50">
        <v>4</v>
      </c>
      <c r="D5" s="50">
        <v>2</v>
      </c>
      <c r="E5" s="50">
        <v>3.5</v>
      </c>
      <c r="F5" s="50" t="s">
        <v>764</v>
      </c>
      <c r="G5" s="50">
        <v>4</v>
      </c>
      <c r="I5" t="s">
        <v>765</v>
      </c>
      <c r="K5" t="s">
        <v>199</v>
      </c>
      <c r="L5" t="s">
        <v>766</v>
      </c>
      <c r="M5" t="s">
        <v>767</v>
      </c>
      <c r="N5" t="s">
        <v>768</v>
      </c>
      <c r="O5" t="s">
        <v>769</v>
      </c>
      <c r="Q5" t="s">
        <v>770</v>
      </c>
      <c r="S5" t="s">
        <v>771</v>
      </c>
      <c r="U5" s="54" t="s">
        <v>742</v>
      </c>
      <c r="V5" t="s">
        <v>772</v>
      </c>
      <c r="AB5" t="b">
        <v>0</v>
      </c>
    </row>
    <row r="6" spans="1:37" x14ac:dyDescent="0.25">
      <c r="A6" s="50">
        <v>4</v>
      </c>
      <c r="B6" s="50">
        <v>1</v>
      </c>
      <c r="C6" s="50">
        <v>3</v>
      </c>
      <c r="D6" s="50">
        <v>1</v>
      </c>
      <c r="E6" s="50">
        <v>4.5</v>
      </c>
      <c r="F6" s="50" t="s">
        <v>773</v>
      </c>
      <c r="G6" s="50">
        <v>5</v>
      </c>
      <c r="M6" t="s">
        <v>774</v>
      </c>
      <c r="N6" t="s">
        <v>775</v>
      </c>
      <c r="O6" t="s">
        <v>776</v>
      </c>
      <c r="S6" t="s">
        <v>777</v>
      </c>
      <c r="U6" s="54" t="s">
        <v>723</v>
      </c>
      <c r="V6" t="s">
        <v>778</v>
      </c>
      <c r="AA6" s="53" t="s">
        <v>779</v>
      </c>
    </row>
    <row r="7" spans="1:37" x14ac:dyDescent="0.25">
      <c r="M7" t="s">
        <v>780</v>
      </c>
      <c r="N7" t="s">
        <v>781</v>
      </c>
      <c r="O7" t="s">
        <v>782</v>
      </c>
      <c r="S7" t="s">
        <v>783</v>
      </c>
      <c r="U7" s="54" t="s">
        <v>759</v>
      </c>
      <c r="V7" t="s">
        <v>784</v>
      </c>
      <c r="AA7" t="s">
        <v>731</v>
      </c>
    </row>
    <row r="8" spans="1:37" x14ac:dyDescent="0.25">
      <c r="M8" t="s">
        <v>785</v>
      </c>
      <c r="N8" t="s">
        <v>786</v>
      </c>
      <c r="O8" t="s">
        <v>787</v>
      </c>
      <c r="S8" t="s">
        <v>788</v>
      </c>
      <c r="U8" s="54" t="s">
        <v>789</v>
      </c>
      <c r="V8" t="s">
        <v>790</v>
      </c>
      <c r="AA8" t="s">
        <v>750</v>
      </c>
    </row>
    <row r="9" spans="1:37" x14ac:dyDescent="0.25">
      <c r="A9" s="55"/>
      <c r="M9" t="s">
        <v>791</v>
      </c>
      <c r="N9" t="s">
        <v>792</v>
      </c>
      <c r="O9" t="s">
        <v>793</v>
      </c>
      <c r="S9" t="s">
        <v>794</v>
      </c>
      <c r="U9" s="54" t="s">
        <v>795</v>
      </c>
      <c r="V9" t="s">
        <v>796</v>
      </c>
      <c r="AA9" t="s">
        <v>797</v>
      </c>
    </row>
    <row r="10" spans="1:37" x14ac:dyDescent="0.25">
      <c r="M10" t="s">
        <v>798</v>
      </c>
      <c r="N10" t="s">
        <v>799</v>
      </c>
      <c r="S10" t="s">
        <v>800</v>
      </c>
      <c r="U10" s="54" t="s">
        <v>801</v>
      </c>
      <c r="V10" t="s">
        <v>802</v>
      </c>
    </row>
    <row r="11" spans="1:37" x14ac:dyDescent="0.25">
      <c r="M11" t="s">
        <v>803</v>
      </c>
      <c r="N11" t="s">
        <v>804</v>
      </c>
      <c r="S11" t="s">
        <v>805</v>
      </c>
      <c r="U11" s="54" t="s">
        <v>806</v>
      </c>
      <c r="V11" t="s">
        <v>807</v>
      </c>
    </row>
    <row r="12" spans="1:37" x14ac:dyDescent="0.25">
      <c r="M12" t="s">
        <v>808</v>
      </c>
      <c r="N12" t="s">
        <v>809</v>
      </c>
      <c r="S12" t="s">
        <v>791</v>
      </c>
      <c r="U12" s="54" t="s">
        <v>810</v>
      </c>
      <c r="V12" t="s">
        <v>811</v>
      </c>
    </row>
    <row r="13" spans="1:37" x14ac:dyDescent="0.25">
      <c r="M13" t="s">
        <v>812</v>
      </c>
      <c r="N13" t="s">
        <v>813</v>
      </c>
      <c r="S13" t="s">
        <v>810</v>
      </c>
      <c r="U13" s="54" t="s">
        <v>814</v>
      </c>
      <c r="V13" t="s">
        <v>815</v>
      </c>
    </row>
    <row r="14" spans="1:37" x14ac:dyDescent="0.25">
      <c r="M14" t="s">
        <v>816</v>
      </c>
      <c r="N14" t="s">
        <v>817</v>
      </c>
      <c r="S14" t="s">
        <v>814</v>
      </c>
      <c r="U14" s="54" t="s">
        <v>818</v>
      </c>
      <c r="V14" t="s">
        <v>819</v>
      </c>
    </row>
    <row r="15" spans="1:37" x14ac:dyDescent="0.25">
      <c r="M15" t="s">
        <v>820</v>
      </c>
      <c r="N15" t="s">
        <v>821</v>
      </c>
      <c r="S15" t="s">
        <v>818</v>
      </c>
      <c r="U15" s="54" t="s">
        <v>822</v>
      </c>
      <c r="V15" t="s">
        <v>823</v>
      </c>
    </row>
    <row r="16" spans="1:37" x14ac:dyDescent="0.25">
      <c r="M16" t="s">
        <v>824</v>
      </c>
      <c r="N16" t="s">
        <v>825</v>
      </c>
      <c r="S16" t="s">
        <v>822</v>
      </c>
      <c r="U16" s="54" t="s">
        <v>826</v>
      </c>
      <c r="V16" t="s">
        <v>827</v>
      </c>
    </row>
    <row r="17" spans="13:22" x14ac:dyDescent="0.25">
      <c r="M17" t="s">
        <v>798</v>
      </c>
      <c r="N17" t="s">
        <v>828</v>
      </c>
      <c r="S17" t="s">
        <v>829</v>
      </c>
      <c r="U17" s="54" t="s">
        <v>830</v>
      </c>
      <c r="V17" t="s">
        <v>831</v>
      </c>
    </row>
    <row r="18" spans="13:22" x14ac:dyDescent="0.25">
      <c r="N18" t="s">
        <v>832</v>
      </c>
      <c r="U18" s="54" t="s">
        <v>833</v>
      </c>
      <c r="V18" t="s">
        <v>834</v>
      </c>
    </row>
    <row r="19" spans="13:22" x14ac:dyDescent="0.25">
      <c r="N19" t="s">
        <v>835</v>
      </c>
      <c r="U19" s="54" t="s">
        <v>836</v>
      </c>
      <c r="V19" t="s">
        <v>837</v>
      </c>
    </row>
    <row r="20" spans="13:22" x14ac:dyDescent="0.25">
      <c r="U20" s="54" t="s">
        <v>838</v>
      </c>
      <c r="V20" t="s">
        <v>839</v>
      </c>
    </row>
    <row r="21" spans="13:22" x14ac:dyDescent="0.25">
      <c r="N21" t="s">
        <v>840</v>
      </c>
      <c r="U21" s="54" t="s">
        <v>841</v>
      </c>
      <c r="V21" t="s">
        <v>842</v>
      </c>
    </row>
    <row r="22" spans="13:22" x14ac:dyDescent="0.25">
      <c r="U22" s="54" t="s">
        <v>843</v>
      </c>
      <c r="V22" t="s">
        <v>844</v>
      </c>
    </row>
    <row r="23" spans="13:22" x14ac:dyDescent="0.25">
      <c r="U23" s="54" t="s">
        <v>845</v>
      </c>
      <c r="V23" t="s">
        <v>846</v>
      </c>
    </row>
    <row r="24" spans="13:22" x14ac:dyDescent="0.25">
      <c r="U24" s="54" t="s">
        <v>847</v>
      </c>
      <c r="V24" t="s">
        <v>825</v>
      </c>
    </row>
    <row r="25" spans="13:22" x14ac:dyDescent="0.25">
      <c r="U25" s="54" t="s">
        <v>848</v>
      </c>
      <c r="V25" t="s">
        <v>821</v>
      </c>
    </row>
    <row r="26" spans="13:22" x14ac:dyDescent="0.25">
      <c r="U26" s="54" t="s">
        <v>849</v>
      </c>
      <c r="V26" t="s">
        <v>817</v>
      </c>
    </row>
    <row r="27" spans="13:22" x14ac:dyDescent="0.25">
      <c r="U27" s="54" t="s">
        <v>850</v>
      </c>
      <c r="V27" t="s">
        <v>813</v>
      </c>
    </row>
    <row r="28" spans="13:22" x14ac:dyDescent="0.25">
      <c r="U28" s="54" t="s">
        <v>851</v>
      </c>
      <c r="V28" t="s">
        <v>852</v>
      </c>
    </row>
    <row r="29" spans="13:22" x14ac:dyDescent="0.25">
      <c r="U29" s="54" t="s">
        <v>853</v>
      </c>
      <c r="V29" t="s">
        <v>854</v>
      </c>
    </row>
    <row r="30" spans="13:22" x14ac:dyDescent="0.25">
      <c r="U30" s="54" t="s">
        <v>855</v>
      </c>
    </row>
    <row r="31" spans="13:22" x14ac:dyDescent="0.25">
      <c r="U31" s="54" t="s">
        <v>856</v>
      </c>
    </row>
    <row r="32" spans="13:22" x14ac:dyDescent="0.25">
      <c r="U32" s="54" t="s">
        <v>857</v>
      </c>
    </row>
    <row r="33" spans="21:21" x14ac:dyDescent="0.25">
      <c r="U33" s="54" t="s">
        <v>858</v>
      </c>
    </row>
    <row r="34" spans="21:21" x14ac:dyDescent="0.25">
      <c r="U34" s="54" t="s">
        <v>859</v>
      </c>
    </row>
    <row r="35" spans="21:21" x14ac:dyDescent="0.25">
      <c r="U35" s="54" t="s">
        <v>841</v>
      </c>
    </row>
    <row r="36" spans="21:21" x14ac:dyDescent="0.25">
      <c r="U36" s="54" t="s">
        <v>843</v>
      </c>
    </row>
    <row r="37" spans="21:21" x14ac:dyDescent="0.25">
      <c r="U37" s="54"/>
    </row>
  </sheetData>
  <sheetProtection algorithmName="SHA-512" hashValue="h0YfT9kwpTEGFSiZWR5p+CDFCnQ4h//lmWyNI/mYAP/8b+pdUXpdyrSYV/ApGqIe94uuo03LyUGexzQTe9UJHw==" saltValue="D9JvTzV2uL3q1Xy9MfO/hA==" spinCount="100000" sheet="1" objects="1" scenarios="1" selectLockedCells="1" selectUnlockedCells="1"/>
  <pageMargins left="0.7" right="0.7" top="0.75" bottom="0.75" header="0.3" footer="0.3"/>
  <pageSetup orientation="portrait" horizontalDpi="360" verticalDpi="36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20894-8B50-4477-B0B0-26D27EF1FF5E}">
  <sheetPr codeName="Setup_Sheet"/>
  <dimension ref="B1:O19"/>
  <sheetViews>
    <sheetView showGridLines="0" zoomScale="120" zoomScaleNormal="120" workbookViewId="0">
      <selection activeCell="D7" sqref="D7"/>
    </sheetView>
  </sheetViews>
  <sheetFormatPr defaultColWidth="8.85546875" defaultRowHeight="15" x14ac:dyDescent="0.25"/>
  <cols>
    <col min="2" max="2" width="24.28515625" customWidth="1"/>
    <col min="3" max="3" width="2.7109375" customWidth="1"/>
    <col min="4" max="4" width="10.28515625" customWidth="1"/>
    <col min="5" max="5" width="4.85546875" customWidth="1"/>
    <col min="6" max="6" width="10.28515625" customWidth="1"/>
    <col min="7" max="7" width="39.42578125" customWidth="1"/>
    <col min="12" max="12" width="23.140625" hidden="1" customWidth="1"/>
    <col min="13" max="13" width="8.85546875" hidden="1" customWidth="1"/>
    <col min="14" max="14" width="16.140625" hidden="1" customWidth="1"/>
    <col min="15" max="15" width="8.85546875" hidden="1" customWidth="1"/>
    <col min="16" max="16" width="8.85546875" customWidth="1"/>
  </cols>
  <sheetData>
    <row r="1" spans="2:15" ht="69.95" customHeight="1" x14ac:dyDescent="0.25">
      <c r="B1" s="494" t="str">
        <f>"Official Electronic IPCRF Tool v"&amp;meta!B3</f>
        <v>Official Electronic IPCRF Tool v4.3</v>
      </c>
      <c r="C1" s="494"/>
      <c r="D1" s="494"/>
      <c r="E1" s="494"/>
      <c r="F1" s="494"/>
      <c r="G1" s="494"/>
      <c r="H1" s="494"/>
      <c r="I1" s="494"/>
    </row>
    <row r="2" spans="2:15" ht="29.1" customHeight="1" x14ac:dyDescent="0.25">
      <c r="B2" s="497" t="s">
        <v>860</v>
      </c>
      <c r="C2" s="497"/>
      <c r="D2" s="497"/>
      <c r="E2" s="497"/>
      <c r="F2" s="497"/>
      <c r="G2" s="497"/>
      <c r="H2" s="497"/>
      <c r="I2" s="497"/>
    </row>
    <row r="3" spans="2:15" ht="6" customHeight="1" x14ac:dyDescent="0.25"/>
    <row r="4" spans="2:15" ht="27.95" customHeight="1" x14ac:dyDescent="0.25">
      <c r="B4" s="498" t="s">
        <v>861</v>
      </c>
      <c r="C4" s="498"/>
      <c r="D4" s="498"/>
      <c r="E4" s="498"/>
      <c r="F4" s="498"/>
      <c r="G4" s="498"/>
      <c r="H4" s="498"/>
      <c r="I4" s="498"/>
    </row>
    <row r="5" spans="2:15" x14ac:dyDescent="0.25">
      <c r="N5" s="257" t="s">
        <v>862</v>
      </c>
    </row>
    <row r="6" spans="2:15" x14ac:dyDescent="0.25">
      <c r="L6" s="53" t="s">
        <v>863</v>
      </c>
      <c r="M6" s="53" t="b">
        <f ca="1">AND(M7,M14,M19)</f>
        <v>1</v>
      </c>
      <c r="N6" s="136" t="b">
        <v>1</v>
      </c>
    </row>
    <row r="7" spans="2:15" ht="20.100000000000001" customHeight="1" x14ac:dyDescent="0.25">
      <c r="B7" s="344" t="s">
        <v>864</v>
      </c>
      <c r="D7" s="259">
        <v>2023</v>
      </c>
      <c r="E7" s="50" t="s">
        <v>865</v>
      </c>
      <c r="F7" s="260">
        <f>IF(ISBLANK(sy_start),"",sy_start+1)</f>
        <v>2024</v>
      </c>
      <c r="G7" s="255" t="s">
        <v>866</v>
      </c>
      <c r="L7" t="s">
        <v>867</v>
      </c>
      <c r="M7" t="b">
        <f>NOT(ISBLANK(sy_start))</f>
        <v>1</v>
      </c>
    </row>
    <row r="8" spans="2:15" x14ac:dyDescent="0.25">
      <c r="B8" s="344"/>
    </row>
    <row r="9" spans="2:15" ht="20.100000000000001" hidden="1" customHeight="1" x14ac:dyDescent="0.25">
      <c r="B9" s="344" t="s">
        <v>868</v>
      </c>
      <c r="D9" s="500" t="s">
        <v>727</v>
      </c>
      <c r="E9" s="500"/>
      <c r="F9" s="500"/>
      <c r="G9" s="255" t="s">
        <v>866</v>
      </c>
    </row>
    <row r="10" spans="2:15" hidden="1" x14ac:dyDescent="0.25">
      <c r="B10" s="257"/>
      <c r="D10" s="254" t="s">
        <v>869</v>
      </c>
      <c r="E10" s="252"/>
      <c r="F10" s="252"/>
    </row>
    <row r="11" spans="2:15" ht="126.95" hidden="1" customHeight="1" x14ac:dyDescent="0.25">
      <c r="B11" s="257"/>
      <c r="D11" s="495" t="s">
        <v>870</v>
      </c>
      <c r="E11" s="495"/>
      <c r="F11" s="496" t="s">
        <v>871</v>
      </c>
      <c r="G11" s="496"/>
    </row>
    <row r="12" spans="2:15" ht="153" hidden="1" customHeight="1" x14ac:dyDescent="0.25">
      <c r="B12" s="257"/>
      <c r="D12" s="495" t="s">
        <v>872</v>
      </c>
      <c r="E12" s="495"/>
      <c r="F12" s="496" t="s">
        <v>873</v>
      </c>
      <c r="G12" s="496"/>
    </row>
    <row r="13" spans="2:15" hidden="1" x14ac:dyDescent="0.25">
      <c r="B13" s="257"/>
    </row>
    <row r="14" spans="2:15" ht="20.100000000000001" hidden="1" customHeight="1" x14ac:dyDescent="0.25">
      <c r="B14" s="343" t="s">
        <v>874</v>
      </c>
      <c r="D14" s="499" t="s">
        <v>729</v>
      </c>
      <c r="E14" s="499"/>
      <c r="F14" s="499"/>
      <c r="G14" s="255"/>
      <c r="L14" t="str" cm="1">
        <f t="array" aca="1" ref="L14" ca="1">CELL("address",selected_teacher_type)</f>
        <v>$D$14</v>
      </c>
      <c r="M14" t="b">
        <f ca="1">IFERROR(O14&gt;0,FALSE)</f>
        <v>1</v>
      </c>
      <c r="N14" t="s">
        <v>875</v>
      </c>
      <c r="O14">
        <f t="array" aca="1" ref="O14" ca="1">MATCH(TRUE,EXACT(INDIRECT(L14),INDIRECT(N14)),0)</f>
        <v>1</v>
      </c>
    </row>
    <row r="15" spans="2:15" hidden="1" x14ac:dyDescent="0.25">
      <c r="B15" s="258"/>
      <c r="D15" s="265" t="s">
        <v>869</v>
      </c>
      <c r="E15" s="264"/>
      <c r="F15" s="264"/>
      <c r="G15" s="255"/>
    </row>
    <row r="16" spans="2:15" ht="107.1" hidden="1" customHeight="1" x14ac:dyDescent="0.25">
      <c r="B16" s="258"/>
      <c r="D16" s="495" t="s">
        <v>729</v>
      </c>
      <c r="E16" s="495"/>
      <c r="F16" s="496" t="s">
        <v>876</v>
      </c>
      <c r="G16" s="496"/>
    </row>
    <row r="17" spans="2:13" ht="69.95" hidden="1" customHeight="1" x14ac:dyDescent="0.25">
      <c r="B17" s="258"/>
      <c r="D17" s="495" t="s">
        <v>748</v>
      </c>
      <c r="E17" s="495"/>
      <c r="F17" s="496" t="s">
        <v>877</v>
      </c>
      <c r="G17" s="496"/>
    </row>
    <row r="18" spans="2:13" x14ac:dyDescent="0.25">
      <c r="B18" s="258"/>
      <c r="D18" s="253"/>
      <c r="E18" s="253"/>
    </row>
    <row r="19" spans="2:13" ht="20.100000000000001" customHeight="1" x14ac:dyDescent="0.25">
      <c r="B19" s="344" t="s">
        <v>878</v>
      </c>
      <c r="D19" s="137">
        <v>4</v>
      </c>
      <c r="E19" s="256" t="s">
        <v>866</v>
      </c>
      <c r="G19" s="326"/>
      <c r="L19" t="s">
        <v>879</v>
      </c>
      <c r="M19" t="b">
        <f>NOT(ISBLANK(required_cot))</f>
        <v>1</v>
      </c>
    </row>
  </sheetData>
  <sheetProtection algorithmName="SHA-512" hashValue="VnIPj0yaDAKh2PW9xRIpE443dxmCyXy1BXVuXQQnrGQeAc19xoU8CSinEmKypY3ZnpX9wQWOE1isI0YFUJwMLw==" saltValue="LcR2RpvwmxrxCIYY08bM1g==" spinCount="100000" sheet="1" objects="1" scenarios="1" selectLockedCells="1"/>
  <mergeCells count="13">
    <mergeCell ref="B1:I1"/>
    <mergeCell ref="D16:E16"/>
    <mergeCell ref="D17:E17"/>
    <mergeCell ref="F16:G16"/>
    <mergeCell ref="F17:G17"/>
    <mergeCell ref="B2:I2"/>
    <mergeCell ref="B4:I4"/>
    <mergeCell ref="D14:F14"/>
    <mergeCell ref="D9:F9"/>
    <mergeCell ref="F11:G11"/>
    <mergeCell ref="F12:G12"/>
    <mergeCell ref="D11:E11"/>
    <mergeCell ref="D12:E12"/>
  </mergeCells>
  <conditionalFormatting sqref="A1:XFD1048576">
    <cfRule type="expression" dxfId="260" priority="3">
      <formula>career_stage="HP"</formula>
    </cfRule>
    <cfRule type="expression" dxfId="259" priority="4">
      <formula>OR(career_stage="P",career_stage="")</formula>
    </cfRule>
  </conditionalFormatting>
  <conditionalFormatting sqref="D7 F7 D9:F9 D14:F14 D19">
    <cfRule type="expression" dxfId="258" priority="1" stopIfTrue="1">
      <formula>AND($N$6, NOT($M7))</formula>
    </cfRule>
  </conditionalFormatting>
  <conditionalFormatting sqref="D7 F7 D9:F9 D19">
    <cfRule type="expression" dxfId="257" priority="2">
      <formula>TRUE</formula>
    </cfRule>
  </conditionalFormatting>
  <dataValidations count="5">
    <dataValidation type="list" allowBlank="1" showInputMessage="1" showErrorMessage="1" sqref="D9" xr:uid="{82284980-9618-47A6-8279-2F216BB82F2F}">
      <formula1>competency_level</formula1>
    </dataValidation>
    <dataValidation type="list" allowBlank="1" showInputMessage="1" showErrorMessage="1" sqref="E14:F14 D14" xr:uid="{0938EC94-E1BE-4FA2-B358-DB422DC9A63A}">
      <formula1>teacher_type_list</formula1>
    </dataValidation>
    <dataValidation type="whole" allowBlank="1" showInputMessage="1" showErrorMessage="1" errorTitle="Invalid Input" error="Input must be a whole number between 1 and 4." sqref="D19" xr:uid="{1D242CF1-42DB-43C7-8AB5-7ADD1C240275}">
      <formula1>1</formula1>
      <formula2>4</formula2>
    </dataValidation>
    <dataValidation type="whole" operator="greaterThanOrEqual" allowBlank="1" showInputMessage="1" showErrorMessage="1" errorTitle="Invalid Input" error="The specified year is not within the coverage of this tool." sqref="D7" xr:uid="{098CF6C2-1D0C-4288-AB91-D64B8894F5E4}">
      <formula1>2021</formula1>
    </dataValidation>
    <dataValidation type="custom" allowBlank="1" showInputMessage="1" showErrorMessage="1" errorTitle="Invalid Input" error="School year range is invalid." sqref="F7" xr:uid="{67F075A8-7955-4941-84A0-24C82F8773DB}">
      <formula1>$F$7=($D$7+1)</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5164" r:id="rId4" name="Button 44">
              <controlPr defaultSize="0" print="0" autoFill="0" autoPict="0" macro="[0]!Setup_Sheet.SetNext">
                <anchor moveWithCells="1" sizeWithCells="1">
                  <from>
                    <xdr:col>5</xdr:col>
                    <xdr:colOff>390525</xdr:colOff>
                    <xdr:row>20</xdr:row>
                    <xdr:rowOff>66675</xdr:rowOff>
                  </from>
                  <to>
                    <xdr:col>6</xdr:col>
                    <xdr:colOff>981075</xdr:colOff>
                    <xdr:row>22</xdr:row>
                    <xdr:rowOff>142875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7DD2B-CA1B-4269-A9B1-08F3D3BEF051}">
  <sheetPr codeName="RP_Sheet"/>
  <dimension ref="B1:Y51"/>
  <sheetViews>
    <sheetView showGridLines="0" topLeftCell="A46" zoomScale="140" zoomScaleNormal="140" workbookViewId="0">
      <selection activeCell="G5" sqref="G5"/>
    </sheetView>
  </sheetViews>
  <sheetFormatPr defaultColWidth="8.85546875" defaultRowHeight="15" x14ac:dyDescent="0.25"/>
  <cols>
    <col min="1" max="1" width="8.85546875" style="4"/>
    <col min="2" max="2" width="12.140625" style="6" customWidth="1"/>
    <col min="3" max="3" width="62.28515625" style="4" customWidth="1"/>
    <col min="4" max="4" width="9.85546875" style="6" customWidth="1"/>
    <col min="5" max="5" width="5.140625" style="6" hidden="1" customWidth="1"/>
    <col min="6" max="6" width="8.140625" style="4" customWidth="1"/>
    <col min="7" max="7" width="8.85546875" style="83"/>
    <col min="8" max="8" width="8.85546875" style="6" hidden="1" customWidth="1"/>
    <col min="9" max="9" width="8.85546875" style="4" hidden="1" customWidth="1"/>
    <col min="10" max="10" width="8.85546875" style="4" customWidth="1"/>
    <col min="11" max="16" width="8.85546875" style="4"/>
    <col min="17" max="25" width="8.85546875" style="4" hidden="1" customWidth="1"/>
    <col min="26" max="16384" width="8.85546875" style="4"/>
  </cols>
  <sheetData>
    <row r="1" spans="2:25" ht="15.75" x14ac:dyDescent="0.25">
      <c r="B1" s="501" t="s">
        <v>880</v>
      </c>
      <c r="C1" s="501"/>
      <c r="D1" s="501"/>
      <c r="E1" s="501"/>
      <c r="F1" s="501"/>
      <c r="G1" s="501"/>
    </row>
    <row r="2" spans="2:25" x14ac:dyDescent="0.25">
      <c r="B2" s="502" t="str">
        <f>meta!B4</f>
        <v>SY 2023-2024</v>
      </c>
      <c r="C2" s="502"/>
      <c r="D2" s="502"/>
      <c r="E2" s="502"/>
      <c r="F2" s="502"/>
      <c r="G2" s="502"/>
      <c r="O2" s="325" t="s">
        <v>879</v>
      </c>
      <c r="Q2" s="11">
        <v>1</v>
      </c>
      <c r="R2" s="11">
        <v>2</v>
      </c>
      <c r="S2" s="11">
        <v>3</v>
      </c>
      <c r="T2" s="11">
        <v>4</v>
      </c>
      <c r="U2" s="11" t="s">
        <v>881</v>
      </c>
      <c r="V2" s="11">
        <v>1</v>
      </c>
      <c r="W2" s="11">
        <v>2</v>
      </c>
      <c r="X2" s="11">
        <v>3</v>
      </c>
      <c r="Y2" s="11">
        <v>4</v>
      </c>
    </row>
    <row r="3" spans="2:25" s="1" customFormat="1" ht="60" x14ac:dyDescent="0.25">
      <c r="B3" s="12" t="s">
        <v>882</v>
      </c>
      <c r="C3" s="12" t="s">
        <v>883</v>
      </c>
      <c r="D3" s="12" t="s">
        <v>884</v>
      </c>
      <c r="E3" s="12" t="s">
        <v>885</v>
      </c>
      <c r="F3" s="12" t="s">
        <v>886</v>
      </c>
      <c r="G3" s="80" t="s">
        <v>887</v>
      </c>
      <c r="H3" s="1" t="s">
        <v>888</v>
      </c>
      <c r="I3" s="1" t="s">
        <v>881</v>
      </c>
      <c r="J3" s="12" t="s">
        <v>889</v>
      </c>
      <c r="K3" s="12" t="s">
        <v>890</v>
      </c>
      <c r="L3" s="12" t="s">
        <v>891</v>
      </c>
      <c r="M3" s="12" t="s">
        <v>892</v>
      </c>
      <c r="N3" s="12" t="s">
        <v>893</v>
      </c>
      <c r="O3" s="316" t="s">
        <v>894</v>
      </c>
      <c r="Q3" s="1" t="b">
        <f>required_cot&gt;=Q2</f>
        <v>1</v>
      </c>
      <c r="R3" s="1" t="b">
        <f>required_cot&gt;=R2</f>
        <v>1</v>
      </c>
      <c r="S3" s="1" t="b">
        <f>required_cot&gt;=S2</f>
        <v>1</v>
      </c>
      <c r="T3" s="1" t="b">
        <f>required_cot&gt;=T2</f>
        <v>1</v>
      </c>
      <c r="U3" s="6"/>
      <c r="V3" s="1" t="b">
        <f>required_cot&gt;=V2</f>
        <v>1</v>
      </c>
      <c r="W3" s="1" t="b">
        <f>required_cot&gt;=W2</f>
        <v>1</v>
      </c>
      <c r="X3" s="1" t="b">
        <f>required_cot&gt;=X2</f>
        <v>1</v>
      </c>
      <c r="Y3" s="1" t="b">
        <f>required_cot&gt;=Y2</f>
        <v>1</v>
      </c>
    </row>
    <row r="4" spans="2:25" s="7" customFormat="1" x14ac:dyDescent="0.25">
      <c r="B4" s="345" t="s">
        <v>895</v>
      </c>
      <c r="C4" s="345"/>
      <c r="D4" s="345"/>
      <c r="E4" s="345"/>
      <c r="F4" s="346"/>
      <c r="G4" s="315"/>
      <c r="H4" s="6"/>
      <c r="I4" s="6" t="b">
        <f>OR(AND(H4,NOT(ISBLANK(G4)),OR(AND(D4="COI/NCOI",NOT(J4="")),AND(NOT(D4="COI/NCOI"),OR(D4=J4,J4="")))),AND(NOT(H4),ISBLANK(G4),ISBLANK(J4)))</f>
        <v>1</v>
      </c>
      <c r="J4" s="13"/>
      <c r="K4" s="13"/>
      <c r="L4" s="13"/>
      <c r="M4" s="13"/>
      <c r="N4" s="13"/>
      <c r="Q4" s="6" t="b">
        <f>AND(IF($H4,IF($D4="COI",TRUE,IF($D4="COI/NCOI",IF(OR($J4="COI",$J4="COI/NCOI"),TRUE,FALSE),FALSE)),FALSE),Q$3)</f>
        <v>0</v>
      </c>
      <c r="R4" s="6" t="b">
        <f t="shared" ref="R4:T19" si="0">AND(IF($H4,IF($D4="COI",TRUE,IF($D4="COI/NCOI",IF(OR($J4="COI",$J4="COI/NCOI"),TRUE,FALSE),FALSE)),FALSE),R$3)</f>
        <v>0</v>
      </c>
      <c r="S4" s="6" t="b">
        <f t="shared" si="0"/>
        <v>0</v>
      </c>
      <c r="T4" s="6" t="b">
        <f t="shared" si="0"/>
        <v>0</v>
      </c>
      <c r="U4" s="6" t="b">
        <f t="shared" ref="U4:U49" si="1">IF(AND($H4,OR($D4="COI",$J4="COI", $J4="COI/NCOI")),AND(SUM($K4:$N4)&gt;0,SUM($K4:$N4)&lt;=required_cot),SUM($K4:$N4)=0)</f>
        <v>1</v>
      </c>
      <c r="V4" s="6" t="b">
        <f>IF(Q4,IF(NOT(ISBLANK(K4)),TRUE,FALSE),IF(ISBLANK(K4),TRUE,FALSE))</f>
        <v>1</v>
      </c>
      <c r="W4" s="6" t="b">
        <f t="shared" ref="W4:Y4" si="2">IF(R4,IF(NOT(ISBLANK(L4)),TRUE,FALSE),IF(ISBLANK(L4),TRUE,FALSE))</f>
        <v>1</v>
      </c>
      <c r="X4" s="6" t="b">
        <f t="shared" si="2"/>
        <v>1</v>
      </c>
      <c r="Y4" s="6" t="b">
        <f t="shared" si="2"/>
        <v>1</v>
      </c>
    </row>
    <row r="5" spans="2:25" ht="50.1" customHeight="1" x14ac:dyDescent="0.25">
      <c r="B5" s="13" t="str">
        <f>RegPInd!A2</f>
        <v>1.1.2</v>
      </c>
      <c r="C5" s="18" t="str">
        <f>RegPInd!B2</f>
        <v>Applied knowledge of content within and across curriculum teaching areas</v>
      </c>
      <c r="D5" s="13" t="str">
        <f>RegPInd!D2</f>
        <v>COI</v>
      </c>
      <c r="E5" s="13">
        <f>RegPInd!E2</f>
        <v>3</v>
      </c>
      <c r="F5" s="46"/>
      <c r="G5" s="81">
        <v>7.0000000000000007E-2</v>
      </c>
      <c r="H5" s="261" t="b">
        <v>1</v>
      </c>
      <c r="I5" s="6" t="b">
        <f>OR(AND(H5,NOT(ISBLANK(G5)),OR(AND(D5="COI/NCOI",NOT(J5="")),AND(NOT(D5="COI/NCOI"),OR(D5=J5,J5="")))),AND(NOT(H5),ISBLANK(G5),ISBLANK(J5)))</f>
        <v>1</v>
      </c>
      <c r="J5" s="137"/>
      <c r="K5" s="137">
        <v>1</v>
      </c>
      <c r="L5" s="137">
        <v>1</v>
      </c>
      <c r="M5" s="137">
        <v>1</v>
      </c>
      <c r="N5" s="137">
        <v>1</v>
      </c>
      <c r="Q5" s="6" t="b">
        <f t="shared" ref="Q5:T49" si="3">AND(IF($H5,IF($D5="COI",TRUE,IF($D5="COI/NCOI",IF(OR($J5="COI",$J5="COI/NCOI"),TRUE,FALSE),FALSE)),FALSE),Q$3)</f>
        <v>1</v>
      </c>
      <c r="R5" s="6" t="b">
        <f t="shared" si="0"/>
        <v>1</v>
      </c>
      <c r="S5" s="6" t="b">
        <f t="shared" si="0"/>
        <v>1</v>
      </c>
      <c r="T5" s="6" t="b">
        <f t="shared" si="0"/>
        <v>1</v>
      </c>
      <c r="U5" s="6" t="b">
        <f t="shared" si="1"/>
        <v>1</v>
      </c>
      <c r="V5" s="6" t="b">
        <f>IF(Q5,IF(NOT(ISBLANK(K5)),TRUE,FALSE),IF(ISBLANK(K5),TRUE,FALSE))</f>
        <v>1</v>
      </c>
      <c r="W5" s="6" t="b">
        <f t="shared" ref="W5" si="4">IF(R5,IF(NOT(ISBLANK(L5)),TRUE,FALSE),IF(ISBLANK(L5),TRUE,FALSE))</f>
        <v>1</v>
      </c>
      <c r="X5" s="6" t="b">
        <f t="shared" ref="X5" si="5">IF(S5,IF(NOT(ISBLANK(M5)),TRUE,FALSE),IF(ISBLANK(M5),TRUE,FALSE))</f>
        <v>1</v>
      </c>
      <c r="Y5" s="6" t="b">
        <f t="shared" ref="Y5" si="6">IF(T5,IF(NOT(ISBLANK(N5)),TRUE,FALSE),IF(ISBLANK(N5),TRUE,FALSE))</f>
        <v>1</v>
      </c>
    </row>
    <row r="6" spans="2:25" ht="50.1" customHeight="1" x14ac:dyDescent="0.25">
      <c r="B6" s="13" t="str">
        <f>RegPInd!A3</f>
        <v>1.2.2</v>
      </c>
      <c r="C6" s="18" t="str">
        <f>RegPInd!B3</f>
        <v>Used research-based knowledge and principles of teaching and learning to enhance professional practice</v>
      </c>
      <c r="D6" s="13" t="str">
        <f>RegPInd!D3</f>
        <v>NCOI</v>
      </c>
      <c r="E6" s="13">
        <f>RegPInd!E3</f>
        <v>3</v>
      </c>
      <c r="F6" s="46"/>
      <c r="G6" s="81"/>
      <c r="H6" s="261" t="b">
        <v>0</v>
      </c>
      <c r="I6" s="6" t="b">
        <f t="shared" ref="I6:I49" si="7">OR(AND(H6,NOT(ISBLANK(G6)),OR(AND(D6="COI/NCOI",NOT(J6="")),AND(NOT(D6="COI/NCOI"),OR(D6=J6,J6="")))),AND(NOT(H6),ISBLANK(G6)))</f>
        <v>1</v>
      </c>
      <c r="J6" s="137"/>
      <c r="K6" s="137"/>
      <c r="L6" s="137"/>
      <c r="M6" s="137"/>
      <c r="N6" s="137"/>
      <c r="Q6" s="6" t="b">
        <f t="shared" si="3"/>
        <v>0</v>
      </c>
      <c r="R6" s="6" t="b">
        <f t="shared" si="0"/>
        <v>0</v>
      </c>
      <c r="S6" s="6" t="b">
        <f t="shared" si="0"/>
        <v>0</v>
      </c>
      <c r="T6" s="6" t="b">
        <f t="shared" si="0"/>
        <v>0</v>
      </c>
      <c r="U6" s="6" t="b">
        <f t="shared" si="1"/>
        <v>1</v>
      </c>
      <c r="V6" s="6" t="b">
        <f t="shared" ref="V6:V49" si="8">IF(Q6,IF(NOT(ISBLANK(K6)),TRUE,FALSE),IF(ISBLANK(K6),TRUE,FALSE))</f>
        <v>1</v>
      </c>
      <c r="W6" s="6" t="b">
        <f t="shared" ref="W6:W49" si="9">IF(R6,IF(NOT(ISBLANK(L6)),TRUE,FALSE),IF(ISBLANK(L6),TRUE,FALSE))</f>
        <v>1</v>
      </c>
      <c r="X6" s="6" t="b">
        <f t="shared" ref="X6:X49" si="10">IF(S6,IF(NOT(ISBLANK(M6)),TRUE,FALSE),IF(ISBLANK(M6),TRUE,FALSE))</f>
        <v>1</v>
      </c>
      <c r="Y6" s="6" t="b">
        <f t="shared" ref="Y6:Y49" si="11">IF(T6,IF(NOT(ISBLANK(N6)),TRUE,FALSE),IF(ISBLANK(N6),TRUE,FALSE))</f>
        <v>1</v>
      </c>
    </row>
    <row r="7" spans="2:25" ht="50.1" customHeight="1" x14ac:dyDescent="0.25">
      <c r="B7" s="13" t="str">
        <f>RegPInd!A4</f>
        <v>1.3.2</v>
      </c>
      <c r="C7" s="18" t="str">
        <f>RegPInd!B4</f>
        <v>Ensured the positive use of ICT to facilitate the teaching and learning process</v>
      </c>
      <c r="D7" s="13" t="str">
        <f>RegPInd!D4</f>
        <v>NCOI</v>
      </c>
      <c r="E7" s="13">
        <f>RegPInd!E4</f>
        <v>2</v>
      </c>
      <c r="F7" s="46"/>
      <c r="G7" s="81"/>
      <c r="H7" s="261" t="b">
        <v>0</v>
      </c>
      <c r="I7" s="6" t="b">
        <f t="shared" si="7"/>
        <v>1</v>
      </c>
      <c r="J7" s="137"/>
      <c r="K7" s="137"/>
      <c r="L7" s="137"/>
      <c r="M7" s="137"/>
      <c r="N7" s="137"/>
      <c r="Q7" s="6" t="b">
        <f t="shared" si="3"/>
        <v>0</v>
      </c>
      <c r="R7" s="6" t="b">
        <f t="shared" si="0"/>
        <v>0</v>
      </c>
      <c r="S7" s="6" t="b">
        <f t="shared" si="0"/>
        <v>0</v>
      </c>
      <c r="T7" s="6" t="b">
        <f t="shared" si="0"/>
        <v>0</v>
      </c>
      <c r="U7" s="6" t="b">
        <f t="shared" si="1"/>
        <v>1</v>
      </c>
      <c r="V7" s="6" t="b">
        <f t="shared" si="8"/>
        <v>1</v>
      </c>
      <c r="W7" s="6" t="b">
        <f t="shared" si="9"/>
        <v>1</v>
      </c>
      <c r="X7" s="6" t="b">
        <f t="shared" si="10"/>
        <v>1</v>
      </c>
      <c r="Y7" s="6" t="b">
        <f t="shared" si="11"/>
        <v>1</v>
      </c>
    </row>
    <row r="8" spans="2:25" ht="50.1" customHeight="1" x14ac:dyDescent="0.25">
      <c r="B8" s="13" t="str">
        <f>RegPInd!A5</f>
        <v>1.4.2</v>
      </c>
      <c r="C8" s="18" t="str">
        <f>RegPInd!B5</f>
        <v>Used a range of teaching strategies that enhance learner achievement in literacy and numeracy skills</v>
      </c>
      <c r="D8" s="13" t="str">
        <f>RegPInd!D5</f>
        <v>COI</v>
      </c>
      <c r="E8" s="13">
        <f>RegPInd!E5</f>
        <v>3</v>
      </c>
      <c r="F8" s="46"/>
      <c r="G8" s="81">
        <v>7.0000000000000007E-2</v>
      </c>
      <c r="H8" s="261" t="b">
        <v>1</v>
      </c>
      <c r="I8" s="6" t="b">
        <f t="shared" si="7"/>
        <v>1</v>
      </c>
      <c r="J8" s="137"/>
      <c r="K8" s="137">
        <v>1</v>
      </c>
      <c r="L8" s="137">
        <v>1</v>
      </c>
      <c r="M8" s="137">
        <v>1</v>
      </c>
      <c r="N8" s="137">
        <v>1</v>
      </c>
      <c r="Q8" s="6" t="b">
        <f t="shared" si="3"/>
        <v>1</v>
      </c>
      <c r="R8" s="6" t="b">
        <f t="shared" si="0"/>
        <v>1</v>
      </c>
      <c r="S8" s="6" t="b">
        <f t="shared" si="0"/>
        <v>1</v>
      </c>
      <c r="T8" s="6" t="b">
        <f t="shared" si="0"/>
        <v>1</v>
      </c>
      <c r="U8" s="6" t="b">
        <f t="shared" si="1"/>
        <v>1</v>
      </c>
      <c r="V8" s="6" t="b">
        <f t="shared" si="8"/>
        <v>1</v>
      </c>
      <c r="W8" s="6" t="b">
        <f t="shared" si="9"/>
        <v>1</v>
      </c>
      <c r="X8" s="6" t="b">
        <f t="shared" si="10"/>
        <v>1</v>
      </c>
      <c r="Y8" s="6" t="b">
        <f t="shared" si="11"/>
        <v>1</v>
      </c>
    </row>
    <row r="9" spans="2:25" ht="50.1" customHeight="1" x14ac:dyDescent="0.25">
      <c r="B9" s="13" t="str">
        <f>RegPInd!A6</f>
        <v>1.5.2</v>
      </c>
      <c r="C9" s="18" t="str">
        <f>RegPInd!B6</f>
        <v>Applied a range of teaching strategies to develop critical and creative thinking, as well as other higher-order thinking skills</v>
      </c>
      <c r="D9" s="13" t="str">
        <f>RegPInd!D6</f>
        <v>COI</v>
      </c>
      <c r="E9" s="13">
        <f>RegPInd!E6</f>
        <v>1</v>
      </c>
      <c r="F9" s="46"/>
      <c r="G9" s="81">
        <v>7.0000000000000007E-2</v>
      </c>
      <c r="H9" s="261" t="b">
        <v>1</v>
      </c>
      <c r="I9" s="6" t="b">
        <f t="shared" si="7"/>
        <v>1</v>
      </c>
      <c r="J9" s="137"/>
      <c r="K9" s="137">
        <v>1</v>
      </c>
      <c r="L9" s="137">
        <v>1</v>
      </c>
      <c r="M9" s="137">
        <v>1</v>
      </c>
      <c r="N9" s="137">
        <v>1</v>
      </c>
      <c r="Q9" s="6" t="b">
        <f t="shared" si="3"/>
        <v>1</v>
      </c>
      <c r="R9" s="6" t="b">
        <f t="shared" si="0"/>
        <v>1</v>
      </c>
      <c r="S9" s="6" t="b">
        <f t="shared" si="0"/>
        <v>1</v>
      </c>
      <c r="T9" s="6" t="b">
        <f t="shared" si="0"/>
        <v>1</v>
      </c>
      <c r="U9" s="6" t="b">
        <f t="shared" si="1"/>
        <v>1</v>
      </c>
      <c r="V9" s="6" t="b">
        <f t="shared" si="8"/>
        <v>1</v>
      </c>
      <c r="W9" s="6" t="b">
        <f t="shared" si="9"/>
        <v>1</v>
      </c>
      <c r="X9" s="6" t="b">
        <f t="shared" si="10"/>
        <v>1</v>
      </c>
      <c r="Y9" s="6" t="b">
        <f t="shared" si="11"/>
        <v>1</v>
      </c>
    </row>
    <row r="10" spans="2:25" ht="50.1" customHeight="1" x14ac:dyDescent="0.25">
      <c r="B10" s="13" t="str">
        <f>RegPInd!A7</f>
        <v>1.6.2</v>
      </c>
      <c r="C10" s="18" t="str">
        <f>RegPInd!B7</f>
        <v>Displayed proficient use of Mother Tongue, Filipino and English to facilitate teaching and learning</v>
      </c>
      <c r="D10" s="13" t="str">
        <f>RegPInd!D7</f>
        <v>COI</v>
      </c>
      <c r="E10" s="13">
        <f>RegPInd!E7</f>
        <v>3</v>
      </c>
      <c r="F10" s="46"/>
      <c r="G10" s="81">
        <v>7.0000000000000007E-2</v>
      </c>
      <c r="H10" s="261" t="b">
        <v>1</v>
      </c>
      <c r="I10" s="6" t="b">
        <f t="shared" si="7"/>
        <v>1</v>
      </c>
      <c r="J10" s="137"/>
      <c r="K10" s="137">
        <v>1</v>
      </c>
      <c r="L10" s="137">
        <v>0</v>
      </c>
      <c r="M10" s="137">
        <v>1</v>
      </c>
      <c r="N10" s="137">
        <v>0</v>
      </c>
      <c r="Q10" s="6" t="b">
        <f t="shared" si="3"/>
        <v>1</v>
      </c>
      <c r="R10" s="6" t="b">
        <f t="shared" si="0"/>
        <v>1</v>
      </c>
      <c r="S10" s="6" t="b">
        <f t="shared" si="0"/>
        <v>1</v>
      </c>
      <c r="T10" s="6" t="b">
        <f t="shared" si="0"/>
        <v>1</v>
      </c>
      <c r="U10" s="6" t="b">
        <f t="shared" si="1"/>
        <v>1</v>
      </c>
      <c r="V10" s="6" t="b">
        <f t="shared" si="8"/>
        <v>1</v>
      </c>
      <c r="W10" s="6" t="b">
        <f t="shared" si="9"/>
        <v>1</v>
      </c>
      <c r="X10" s="6" t="b">
        <f t="shared" si="10"/>
        <v>1</v>
      </c>
      <c r="Y10" s="6" t="b">
        <f t="shared" si="11"/>
        <v>1</v>
      </c>
    </row>
    <row r="11" spans="2:25" ht="50.1" customHeight="1" x14ac:dyDescent="0.25">
      <c r="B11" s="13" t="str">
        <f>RegPInd!A8</f>
        <v>1.7.2</v>
      </c>
      <c r="C11" s="18" t="str">
        <f>RegPInd!B8</f>
        <v>Used effective verbal and non-verbal classroom communication strategies to support learner understanding, participation, engagement and achievement</v>
      </c>
      <c r="D11" s="13" t="str">
        <f>RegPInd!D8</f>
        <v>COI</v>
      </c>
      <c r="E11" s="13">
        <f>RegPInd!E8</f>
        <v>3</v>
      </c>
      <c r="F11" s="46"/>
      <c r="G11" s="81"/>
      <c r="H11" s="261" t="b">
        <v>0</v>
      </c>
      <c r="I11" s="6" t="b">
        <f t="shared" si="7"/>
        <v>1</v>
      </c>
      <c r="J11" s="137"/>
      <c r="K11" s="137"/>
      <c r="L11" s="137"/>
      <c r="M11" s="137"/>
      <c r="N11" s="137"/>
      <c r="Q11" s="6" t="b">
        <f t="shared" si="3"/>
        <v>0</v>
      </c>
      <c r="R11" s="6" t="b">
        <f t="shared" si="0"/>
        <v>0</v>
      </c>
      <c r="S11" s="6" t="b">
        <f t="shared" si="0"/>
        <v>0</v>
      </c>
      <c r="T11" s="6" t="b">
        <f t="shared" si="0"/>
        <v>0</v>
      </c>
      <c r="U11" s="6" t="b">
        <f t="shared" si="1"/>
        <v>1</v>
      </c>
      <c r="V11" s="6" t="b">
        <f t="shared" si="8"/>
        <v>1</v>
      </c>
      <c r="W11" s="6" t="b">
        <f t="shared" si="9"/>
        <v>1</v>
      </c>
      <c r="X11" s="6" t="b">
        <f t="shared" si="10"/>
        <v>1</v>
      </c>
      <c r="Y11" s="6" t="b">
        <f t="shared" si="11"/>
        <v>1</v>
      </c>
    </row>
    <row r="12" spans="2:25" s="7" customFormat="1" x14ac:dyDescent="0.25">
      <c r="B12" s="347" t="s">
        <v>896</v>
      </c>
      <c r="C12" s="347"/>
      <c r="D12" s="347"/>
      <c r="E12" s="347"/>
      <c r="F12" s="348"/>
      <c r="G12" s="203"/>
      <c r="H12" s="6"/>
      <c r="I12" s="6" t="b">
        <f t="shared" si="7"/>
        <v>1</v>
      </c>
      <c r="J12" s="13"/>
      <c r="K12" s="13"/>
      <c r="L12" s="13"/>
      <c r="M12" s="13"/>
      <c r="N12" s="13"/>
      <c r="Q12" s="6" t="b">
        <f t="shared" si="3"/>
        <v>0</v>
      </c>
      <c r="R12" s="6" t="b">
        <f t="shared" si="0"/>
        <v>0</v>
      </c>
      <c r="S12" s="6" t="b">
        <f t="shared" si="0"/>
        <v>0</v>
      </c>
      <c r="T12" s="6" t="b">
        <f t="shared" si="0"/>
        <v>0</v>
      </c>
      <c r="U12" s="6" t="b">
        <f t="shared" si="1"/>
        <v>1</v>
      </c>
      <c r="V12" s="6" t="b">
        <f t="shared" si="8"/>
        <v>1</v>
      </c>
      <c r="W12" s="6" t="b">
        <f t="shared" si="9"/>
        <v>1</v>
      </c>
      <c r="X12" s="6" t="b">
        <f t="shared" si="10"/>
        <v>1</v>
      </c>
      <c r="Y12" s="6" t="b">
        <f t="shared" si="11"/>
        <v>1</v>
      </c>
    </row>
    <row r="13" spans="2:25" ht="50.1" customHeight="1" x14ac:dyDescent="0.25">
      <c r="B13" s="13" t="str">
        <f>RegPInd!A9</f>
        <v>2.1.2</v>
      </c>
      <c r="C13" s="18" t="str">
        <f>RegPInd!B9</f>
        <v>Established safe and secure learning environments to enhance learning through the consistent implementation of policies, guidelines and procedures</v>
      </c>
      <c r="D13" s="13" t="str">
        <f>RegPInd!D9</f>
        <v>COI</v>
      </c>
      <c r="E13" s="13">
        <f>RegPInd!E9</f>
        <v>3</v>
      </c>
      <c r="F13" s="46"/>
      <c r="G13" s="81">
        <v>7.0000000000000007E-2</v>
      </c>
      <c r="H13" s="261" t="b">
        <v>1</v>
      </c>
      <c r="I13" s="6" t="b">
        <f t="shared" si="7"/>
        <v>1</v>
      </c>
      <c r="J13" s="137"/>
      <c r="K13" s="137">
        <v>1</v>
      </c>
      <c r="L13" s="137">
        <v>0</v>
      </c>
      <c r="M13" s="137">
        <v>1</v>
      </c>
      <c r="N13" s="137">
        <v>0</v>
      </c>
      <c r="Q13" s="6" t="b">
        <f t="shared" si="3"/>
        <v>1</v>
      </c>
      <c r="R13" s="6" t="b">
        <f t="shared" si="0"/>
        <v>1</v>
      </c>
      <c r="S13" s="6" t="b">
        <f t="shared" si="0"/>
        <v>1</v>
      </c>
      <c r="T13" s="6" t="b">
        <f t="shared" si="0"/>
        <v>1</v>
      </c>
      <c r="U13" s="6" t="b">
        <f t="shared" si="1"/>
        <v>1</v>
      </c>
      <c r="V13" s="6" t="b">
        <f t="shared" si="8"/>
        <v>1</v>
      </c>
      <c r="W13" s="6" t="b">
        <f t="shared" si="9"/>
        <v>1</v>
      </c>
      <c r="X13" s="6" t="b">
        <f t="shared" si="10"/>
        <v>1</v>
      </c>
      <c r="Y13" s="6" t="b">
        <f t="shared" si="11"/>
        <v>1</v>
      </c>
    </row>
    <row r="14" spans="2:25" ht="50.1" customHeight="1" x14ac:dyDescent="0.25">
      <c r="B14" s="13" t="str">
        <f>RegPInd!A10</f>
        <v>2.2.2</v>
      </c>
      <c r="C14" s="18" t="str">
        <f>RegPInd!B10</f>
        <v>Maintained learning environments that promote fairness, respect and care to encourage learning</v>
      </c>
      <c r="D14" s="13" t="str">
        <f>RegPInd!D10</f>
        <v>COI</v>
      </c>
      <c r="E14" s="13">
        <f>RegPInd!E10</f>
        <v>3</v>
      </c>
      <c r="F14" s="46"/>
      <c r="G14" s="81">
        <v>7.0000000000000007E-2</v>
      </c>
      <c r="H14" s="261" t="b">
        <v>1</v>
      </c>
      <c r="I14" s="6" t="b">
        <f t="shared" si="7"/>
        <v>1</v>
      </c>
      <c r="J14" s="137"/>
      <c r="K14" s="137">
        <v>1</v>
      </c>
      <c r="L14" s="137">
        <v>0</v>
      </c>
      <c r="M14" s="137">
        <v>1</v>
      </c>
      <c r="N14" s="137">
        <v>0</v>
      </c>
      <c r="Q14" s="6" t="b">
        <f t="shared" si="3"/>
        <v>1</v>
      </c>
      <c r="R14" s="6" t="b">
        <f t="shared" si="0"/>
        <v>1</v>
      </c>
      <c r="S14" s="6" t="b">
        <f t="shared" si="0"/>
        <v>1</v>
      </c>
      <c r="T14" s="6" t="b">
        <f t="shared" si="0"/>
        <v>1</v>
      </c>
      <c r="U14" s="6" t="b">
        <f t="shared" si="1"/>
        <v>1</v>
      </c>
      <c r="V14" s="6" t="b">
        <f t="shared" si="8"/>
        <v>1</v>
      </c>
      <c r="W14" s="6" t="b">
        <f t="shared" si="9"/>
        <v>1</v>
      </c>
      <c r="X14" s="6" t="b">
        <f t="shared" si="10"/>
        <v>1</v>
      </c>
      <c r="Y14" s="6" t="b">
        <f t="shared" si="11"/>
        <v>1</v>
      </c>
    </row>
    <row r="15" spans="2:25" ht="50.1" customHeight="1" x14ac:dyDescent="0.25">
      <c r="B15" s="13" t="str">
        <f>RegPInd!A11</f>
        <v>2.3.2</v>
      </c>
      <c r="C15" s="18" t="str">
        <f>RegPInd!B11</f>
        <v>Managed classroom structure to engage learners, individually or in groups, in meaningful exploration, discovery and hands-on activities within a range of physical learning environments</v>
      </c>
      <c r="D15" s="13" t="str">
        <f>RegPInd!D11</f>
        <v>COI</v>
      </c>
      <c r="E15" s="13">
        <f>RegPInd!E11</f>
        <v>1</v>
      </c>
      <c r="F15" s="46"/>
      <c r="G15" s="81"/>
      <c r="H15" s="261" t="b">
        <v>0</v>
      </c>
      <c r="I15" s="6" t="b">
        <f t="shared" si="7"/>
        <v>1</v>
      </c>
      <c r="J15" s="137"/>
      <c r="K15" s="137"/>
      <c r="L15" s="137"/>
      <c r="M15" s="137"/>
      <c r="N15" s="137"/>
      <c r="Q15" s="6" t="b">
        <f t="shared" si="3"/>
        <v>0</v>
      </c>
      <c r="R15" s="6" t="b">
        <f t="shared" si="0"/>
        <v>0</v>
      </c>
      <c r="S15" s="6" t="b">
        <f t="shared" si="0"/>
        <v>0</v>
      </c>
      <c r="T15" s="6" t="b">
        <f t="shared" si="0"/>
        <v>0</v>
      </c>
      <c r="U15" s="6" t="b">
        <f t="shared" si="1"/>
        <v>1</v>
      </c>
      <c r="V15" s="6" t="b">
        <f t="shared" si="8"/>
        <v>1</v>
      </c>
      <c r="W15" s="6" t="b">
        <f t="shared" si="9"/>
        <v>1</v>
      </c>
      <c r="X15" s="6" t="b">
        <f t="shared" si="10"/>
        <v>1</v>
      </c>
      <c r="Y15" s="6" t="b">
        <f t="shared" si="11"/>
        <v>1</v>
      </c>
    </row>
    <row r="16" spans="2:25" ht="50.1" customHeight="1" x14ac:dyDescent="0.25">
      <c r="B16" s="13" t="str">
        <f>RegPInd!A12</f>
        <v>2.4.2</v>
      </c>
      <c r="C16" s="18" t="str">
        <f>RegPInd!B12</f>
        <v>Maintained learning environments that nurture and inspire learners to participate, cooperate and collaborate in continued learning</v>
      </c>
      <c r="D16" s="13" t="str">
        <f>RegPInd!D12</f>
        <v>COI/NCOI</v>
      </c>
      <c r="E16" s="13">
        <f>RegPInd!E12</f>
        <v>3</v>
      </c>
      <c r="F16" s="46"/>
      <c r="G16" s="81"/>
      <c r="H16" s="261" t="b">
        <v>0</v>
      </c>
      <c r="I16" s="6" t="b">
        <f t="shared" si="7"/>
        <v>1</v>
      </c>
      <c r="J16" s="137"/>
      <c r="K16" s="137"/>
      <c r="L16" s="137"/>
      <c r="M16" s="137"/>
      <c r="N16" s="137"/>
      <c r="Q16" s="6" t="b">
        <f t="shared" si="3"/>
        <v>0</v>
      </c>
      <c r="R16" s="6" t="b">
        <f t="shared" si="0"/>
        <v>0</v>
      </c>
      <c r="S16" s="6" t="b">
        <f t="shared" si="0"/>
        <v>0</v>
      </c>
      <c r="T16" s="6" t="b">
        <f t="shared" si="0"/>
        <v>0</v>
      </c>
      <c r="U16" s="6" t="b">
        <f t="shared" si="1"/>
        <v>1</v>
      </c>
      <c r="V16" s="6" t="b">
        <f t="shared" si="8"/>
        <v>1</v>
      </c>
      <c r="W16" s="6" t="b">
        <f t="shared" si="9"/>
        <v>1</v>
      </c>
      <c r="X16" s="6" t="b">
        <f t="shared" si="10"/>
        <v>1</v>
      </c>
      <c r="Y16" s="6" t="b">
        <f t="shared" si="11"/>
        <v>1</v>
      </c>
    </row>
    <row r="17" spans="2:25" ht="50.1" customHeight="1" x14ac:dyDescent="0.25">
      <c r="B17" s="13" t="str">
        <f>RegPInd!A13</f>
        <v>2.5.2</v>
      </c>
      <c r="C17" s="18" t="str">
        <f>RegPInd!B13</f>
        <v>Applied a range of successful strategies that maintain learning environments that motivate learners to work productively by assuming responsibility for their own learning</v>
      </c>
      <c r="D17" s="13" t="str">
        <f>RegPInd!D13</f>
        <v>COI/NCOI</v>
      </c>
      <c r="E17" s="13">
        <f>RegPInd!E13</f>
        <v>3</v>
      </c>
      <c r="F17" s="46"/>
      <c r="G17" s="81"/>
      <c r="H17" s="261" t="b">
        <v>0</v>
      </c>
      <c r="I17" s="6" t="b">
        <f t="shared" si="7"/>
        <v>1</v>
      </c>
      <c r="J17" s="137"/>
      <c r="K17" s="137"/>
      <c r="L17" s="137"/>
      <c r="M17" s="137"/>
      <c r="N17" s="137"/>
      <c r="Q17" s="6" t="b">
        <f t="shared" si="3"/>
        <v>0</v>
      </c>
      <c r="R17" s="6" t="b">
        <f t="shared" si="0"/>
        <v>0</v>
      </c>
      <c r="S17" s="6" t="b">
        <f t="shared" si="0"/>
        <v>0</v>
      </c>
      <c r="T17" s="6" t="b">
        <f t="shared" si="0"/>
        <v>0</v>
      </c>
      <c r="U17" s="6" t="b">
        <f t="shared" si="1"/>
        <v>1</v>
      </c>
      <c r="V17" s="6" t="b">
        <f t="shared" si="8"/>
        <v>1</v>
      </c>
      <c r="W17" s="6" t="b">
        <f t="shared" si="9"/>
        <v>1</v>
      </c>
      <c r="X17" s="6" t="b">
        <f t="shared" si="10"/>
        <v>1</v>
      </c>
      <c r="Y17" s="6" t="b">
        <f t="shared" si="11"/>
        <v>1</v>
      </c>
    </row>
    <row r="18" spans="2:25" ht="50.1" customHeight="1" x14ac:dyDescent="0.25">
      <c r="B18" s="13" t="str">
        <f>RegPInd!A14</f>
        <v>2.6.2</v>
      </c>
      <c r="C18" s="18" t="str">
        <f>RegPInd!B14</f>
        <v>Managed learner behavior constructively by applying positive and non-violent discipline to ensure learning- focused environments</v>
      </c>
      <c r="D18" s="13" t="str">
        <f>RegPInd!D14</f>
        <v>COI</v>
      </c>
      <c r="E18" s="13">
        <f>RegPInd!E14</f>
        <v>1</v>
      </c>
      <c r="F18" s="46"/>
      <c r="G18" s="81"/>
      <c r="H18" s="261" t="b">
        <v>0</v>
      </c>
      <c r="I18" s="6" t="b">
        <f t="shared" si="7"/>
        <v>1</v>
      </c>
      <c r="J18" s="137"/>
      <c r="K18" s="137"/>
      <c r="L18" s="137"/>
      <c r="M18" s="137"/>
      <c r="N18" s="137"/>
      <c r="Q18" s="6" t="b">
        <f t="shared" si="3"/>
        <v>0</v>
      </c>
      <c r="R18" s="6" t="b">
        <f t="shared" si="0"/>
        <v>0</v>
      </c>
      <c r="S18" s="6" t="b">
        <f t="shared" si="0"/>
        <v>0</v>
      </c>
      <c r="T18" s="6" t="b">
        <f t="shared" si="0"/>
        <v>0</v>
      </c>
      <c r="U18" s="6" t="b">
        <f t="shared" si="1"/>
        <v>1</v>
      </c>
      <c r="V18" s="6" t="b">
        <f t="shared" si="8"/>
        <v>1</v>
      </c>
      <c r="W18" s="6" t="b">
        <f t="shared" si="9"/>
        <v>1</v>
      </c>
      <c r="X18" s="6" t="b">
        <f t="shared" si="10"/>
        <v>1</v>
      </c>
      <c r="Y18" s="6" t="b">
        <f t="shared" si="11"/>
        <v>1</v>
      </c>
    </row>
    <row r="19" spans="2:25" s="7" customFormat="1" x14ac:dyDescent="0.25">
      <c r="B19" s="347" t="s">
        <v>897</v>
      </c>
      <c r="C19" s="347"/>
      <c r="D19" s="347"/>
      <c r="E19" s="347"/>
      <c r="F19" s="348"/>
      <c r="G19" s="203"/>
      <c r="H19" s="6"/>
      <c r="I19" s="6" t="b">
        <f t="shared" si="7"/>
        <v>1</v>
      </c>
      <c r="J19" s="13"/>
      <c r="K19" s="13"/>
      <c r="L19" s="13"/>
      <c r="M19" s="13"/>
      <c r="N19" s="13"/>
      <c r="Q19" s="6" t="b">
        <f t="shared" si="3"/>
        <v>0</v>
      </c>
      <c r="R19" s="6" t="b">
        <f t="shared" si="0"/>
        <v>0</v>
      </c>
      <c r="S19" s="6" t="b">
        <f t="shared" si="0"/>
        <v>0</v>
      </c>
      <c r="T19" s="6" t="b">
        <f t="shared" si="0"/>
        <v>0</v>
      </c>
      <c r="U19" s="6" t="b">
        <f t="shared" si="1"/>
        <v>1</v>
      </c>
      <c r="V19" s="6" t="b">
        <f t="shared" si="8"/>
        <v>1</v>
      </c>
      <c r="W19" s="6" t="b">
        <f t="shared" si="9"/>
        <v>1</v>
      </c>
      <c r="X19" s="6" t="b">
        <f t="shared" si="10"/>
        <v>1</v>
      </c>
      <c r="Y19" s="6" t="b">
        <f t="shared" si="11"/>
        <v>1</v>
      </c>
    </row>
    <row r="20" spans="2:25" ht="50.1" customHeight="1" x14ac:dyDescent="0.25">
      <c r="B20" s="13" t="str">
        <f>RegPInd!A15</f>
        <v>3.1.2</v>
      </c>
      <c r="C20" s="18" t="str">
        <f>RegPInd!B15</f>
        <v>Used differentiated, developmentally appropriate learning experiences to address learners’ gender, needs, strengths, interests and experiences</v>
      </c>
      <c r="D20" s="13" t="str">
        <f>RegPInd!D15</f>
        <v>COI</v>
      </c>
      <c r="E20" s="13">
        <f>RegPInd!E15</f>
        <v>1</v>
      </c>
      <c r="F20" s="46"/>
      <c r="G20" s="81"/>
      <c r="H20" s="261" t="b">
        <v>0</v>
      </c>
      <c r="I20" s="6" t="b">
        <f t="shared" si="7"/>
        <v>1</v>
      </c>
      <c r="J20" s="137"/>
      <c r="K20" s="137"/>
      <c r="L20" s="137"/>
      <c r="M20" s="137"/>
      <c r="N20" s="137"/>
      <c r="Q20" s="6" t="b">
        <f t="shared" si="3"/>
        <v>0</v>
      </c>
      <c r="R20" s="6" t="b">
        <f t="shared" si="3"/>
        <v>0</v>
      </c>
      <c r="S20" s="6" t="b">
        <f t="shared" si="3"/>
        <v>0</v>
      </c>
      <c r="T20" s="6" t="b">
        <f t="shared" si="3"/>
        <v>0</v>
      </c>
      <c r="U20" s="6" t="b">
        <f t="shared" si="1"/>
        <v>1</v>
      </c>
      <c r="V20" s="6" t="b">
        <f t="shared" si="8"/>
        <v>1</v>
      </c>
      <c r="W20" s="6" t="b">
        <f t="shared" si="9"/>
        <v>1</v>
      </c>
      <c r="X20" s="6" t="b">
        <f t="shared" si="10"/>
        <v>1</v>
      </c>
      <c r="Y20" s="6" t="b">
        <f t="shared" si="11"/>
        <v>1</v>
      </c>
    </row>
    <row r="21" spans="2:25" ht="50.1" customHeight="1" x14ac:dyDescent="0.25">
      <c r="B21" s="13" t="str">
        <f>RegPInd!A16</f>
        <v>3.2.2</v>
      </c>
      <c r="C21" s="18" t="str">
        <f>RegPInd!B16</f>
        <v>Established a learner- centered culture by using teaching strategies that respond to their linguistic, cultural, socioeconomic and religious backgrounds</v>
      </c>
      <c r="D21" s="13" t="str">
        <f>RegPInd!D16</f>
        <v>COI</v>
      </c>
      <c r="E21" s="13">
        <f>RegPInd!E16</f>
        <v>2</v>
      </c>
      <c r="F21" s="46"/>
      <c r="G21" s="81">
        <v>7.0000000000000007E-2</v>
      </c>
      <c r="H21" s="261" t="b">
        <v>1</v>
      </c>
      <c r="I21" s="6" t="b">
        <f t="shared" si="7"/>
        <v>1</v>
      </c>
      <c r="J21" s="137"/>
      <c r="K21" s="137">
        <v>0</v>
      </c>
      <c r="L21" s="137">
        <v>1</v>
      </c>
      <c r="M21" s="137">
        <v>0</v>
      </c>
      <c r="N21" s="137">
        <v>1</v>
      </c>
      <c r="Q21" s="6" t="b">
        <f t="shared" si="3"/>
        <v>1</v>
      </c>
      <c r="R21" s="6" t="b">
        <f t="shared" si="3"/>
        <v>1</v>
      </c>
      <c r="S21" s="6" t="b">
        <f t="shared" si="3"/>
        <v>1</v>
      </c>
      <c r="T21" s="6" t="b">
        <f t="shared" si="3"/>
        <v>1</v>
      </c>
      <c r="U21" s="6" t="b">
        <f t="shared" si="1"/>
        <v>1</v>
      </c>
      <c r="V21" s="6" t="b">
        <f t="shared" si="8"/>
        <v>1</v>
      </c>
      <c r="W21" s="6" t="b">
        <f t="shared" si="9"/>
        <v>1</v>
      </c>
      <c r="X21" s="6" t="b">
        <f t="shared" si="10"/>
        <v>1</v>
      </c>
      <c r="Y21" s="6" t="b">
        <f t="shared" si="11"/>
        <v>1</v>
      </c>
    </row>
    <row r="22" spans="2:25" ht="50.1" customHeight="1" x14ac:dyDescent="0.25">
      <c r="B22" s="13" t="str">
        <f>RegPInd!A17</f>
        <v>3.3.2</v>
      </c>
      <c r="C22" s="18" t="str">
        <f>RegPInd!B17</f>
        <v>Designed, adapted and implemented teaching strategies that are responsive to learners with disabilities, giftedness and talents</v>
      </c>
      <c r="D22" s="13" t="str">
        <f>RegPInd!D17</f>
        <v>COI/NCOI</v>
      </c>
      <c r="E22" s="13">
        <f>RegPInd!E17</f>
        <v>3</v>
      </c>
      <c r="F22" s="46"/>
      <c r="G22" s="81"/>
      <c r="H22" s="261" t="b">
        <v>0</v>
      </c>
      <c r="I22" s="6" t="b">
        <f t="shared" si="7"/>
        <v>1</v>
      </c>
      <c r="J22" s="137"/>
      <c r="K22" s="137"/>
      <c r="L22" s="137"/>
      <c r="M22" s="137"/>
      <c r="N22" s="137"/>
      <c r="Q22" s="6" t="b">
        <f t="shared" si="3"/>
        <v>0</v>
      </c>
      <c r="R22" s="6" t="b">
        <f t="shared" si="3"/>
        <v>0</v>
      </c>
      <c r="S22" s="6" t="b">
        <f t="shared" si="3"/>
        <v>0</v>
      </c>
      <c r="T22" s="6" t="b">
        <f t="shared" si="3"/>
        <v>0</v>
      </c>
      <c r="U22" s="6" t="b">
        <f t="shared" si="1"/>
        <v>1</v>
      </c>
      <c r="V22" s="6" t="b">
        <f t="shared" si="8"/>
        <v>1</v>
      </c>
      <c r="W22" s="6" t="b">
        <f t="shared" si="9"/>
        <v>1</v>
      </c>
      <c r="X22" s="6" t="b">
        <f t="shared" si="10"/>
        <v>1</v>
      </c>
      <c r="Y22" s="6" t="b">
        <f t="shared" si="11"/>
        <v>1</v>
      </c>
    </row>
    <row r="23" spans="2:25" ht="72.599999999999994" customHeight="1" x14ac:dyDescent="0.25">
      <c r="B23" s="13" t="str">
        <f>RegPInd!A18</f>
        <v>3.4.2</v>
      </c>
      <c r="C23" s="18" t="str">
        <f>RegPInd!B18</f>
        <v>Planned and delivered teaching strategies that are responsive to the special educational needs of learners in difficult circumstances*, including: geographic isolation; chronic illness; displacement due to armed conflict, urban resettlement or disasters; child
abuse and child labor practices</v>
      </c>
      <c r="D23" s="13" t="str">
        <f>RegPInd!D18</f>
        <v>COI</v>
      </c>
      <c r="E23" s="13">
        <f>RegPInd!E18</f>
        <v>2</v>
      </c>
      <c r="F23" s="46"/>
      <c r="G23" s="81"/>
      <c r="H23" s="261" t="b">
        <v>0</v>
      </c>
      <c r="I23" s="6" t="b">
        <f t="shared" si="7"/>
        <v>1</v>
      </c>
      <c r="J23" s="137"/>
      <c r="K23" s="137"/>
      <c r="L23" s="137"/>
      <c r="M23" s="137"/>
      <c r="N23" s="137"/>
      <c r="Q23" s="6" t="b">
        <f t="shared" si="3"/>
        <v>0</v>
      </c>
      <c r="R23" s="6" t="b">
        <f t="shared" si="3"/>
        <v>0</v>
      </c>
      <c r="S23" s="6" t="b">
        <f t="shared" si="3"/>
        <v>0</v>
      </c>
      <c r="T23" s="6" t="b">
        <f t="shared" si="3"/>
        <v>0</v>
      </c>
      <c r="U23" s="6" t="b">
        <f t="shared" si="1"/>
        <v>1</v>
      </c>
      <c r="V23" s="6" t="b">
        <f t="shared" si="8"/>
        <v>1</v>
      </c>
      <c r="W23" s="6" t="b">
        <f t="shared" si="9"/>
        <v>1</v>
      </c>
      <c r="X23" s="6" t="b">
        <f t="shared" si="10"/>
        <v>1</v>
      </c>
      <c r="Y23" s="6" t="b">
        <f t="shared" si="11"/>
        <v>1</v>
      </c>
    </row>
    <row r="24" spans="2:25" ht="50.1" customHeight="1" x14ac:dyDescent="0.25">
      <c r="B24" s="13" t="str">
        <f>RegPInd!A19</f>
        <v>3.5.2</v>
      </c>
      <c r="C24" s="18" t="str">
        <f>RegPInd!B19</f>
        <v>Adapted and used culturally appropriate teaching strategies to address the needs of learners from indigenous groups</v>
      </c>
      <c r="D24" s="13" t="str">
        <f>RegPInd!D19</f>
        <v>COI</v>
      </c>
      <c r="E24" s="13">
        <f>RegPInd!E19</f>
        <v>3</v>
      </c>
      <c r="F24" s="46"/>
      <c r="G24" s="81">
        <v>7.0000000000000007E-2</v>
      </c>
      <c r="H24" s="261" t="b">
        <v>1</v>
      </c>
      <c r="I24" s="6" t="b">
        <f t="shared" si="7"/>
        <v>1</v>
      </c>
      <c r="J24" s="137"/>
      <c r="K24" s="137">
        <v>0</v>
      </c>
      <c r="L24" s="137">
        <v>1</v>
      </c>
      <c r="M24" s="137">
        <v>0</v>
      </c>
      <c r="N24" s="137">
        <v>1</v>
      </c>
      <c r="Q24" s="6" t="b">
        <f t="shared" si="3"/>
        <v>1</v>
      </c>
      <c r="R24" s="6" t="b">
        <f t="shared" si="3"/>
        <v>1</v>
      </c>
      <c r="S24" s="6" t="b">
        <f t="shared" si="3"/>
        <v>1</v>
      </c>
      <c r="T24" s="6" t="b">
        <f t="shared" si="3"/>
        <v>1</v>
      </c>
      <c r="U24" s="6" t="b">
        <f t="shared" si="1"/>
        <v>1</v>
      </c>
      <c r="V24" s="6" t="b">
        <f t="shared" si="8"/>
        <v>1</v>
      </c>
      <c r="W24" s="6" t="b">
        <f t="shared" si="9"/>
        <v>1</v>
      </c>
      <c r="X24" s="6" t="b">
        <f t="shared" si="10"/>
        <v>1</v>
      </c>
      <c r="Y24" s="6" t="b">
        <f t="shared" si="11"/>
        <v>1</v>
      </c>
    </row>
    <row r="25" spans="2:25" s="7" customFormat="1" x14ac:dyDescent="0.25">
      <c r="B25" s="347" t="s">
        <v>898</v>
      </c>
      <c r="C25" s="347"/>
      <c r="D25" s="347"/>
      <c r="E25" s="347"/>
      <c r="F25" s="348"/>
      <c r="G25" s="203"/>
      <c r="H25" s="6"/>
      <c r="I25" s="6" t="b">
        <f t="shared" si="7"/>
        <v>1</v>
      </c>
      <c r="J25" s="13"/>
      <c r="K25" s="13"/>
      <c r="L25" s="13"/>
      <c r="M25" s="13"/>
      <c r="N25" s="13"/>
      <c r="Q25" s="6" t="b">
        <f t="shared" si="3"/>
        <v>0</v>
      </c>
      <c r="R25" s="6" t="b">
        <f t="shared" si="3"/>
        <v>0</v>
      </c>
      <c r="S25" s="6" t="b">
        <f t="shared" si="3"/>
        <v>0</v>
      </c>
      <c r="T25" s="6" t="b">
        <f t="shared" si="3"/>
        <v>0</v>
      </c>
      <c r="U25" s="6" t="b">
        <f t="shared" si="1"/>
        <v>1</v>
      </c>
      <c r="V25" s="6" t="b">
        <f t="shared" si="8"/>
        <v>1</v>
      </c>
      <c r="W25" s="6" t="b">
        <f t="shared" si="9"/>
        <v>1</v>
      </c>
      <c r="X25" s="6" t="b">
        <f t="shared" si="10"/>
        <v>1</v>
      </c>
      <c r="Y25" s="6" t="b">
        <f t="shared" si="11"/>
        <v>1</v>
      </c>
    </row>
    <row r="26" spans="2:25" ht="50.1" customHeight="1" x14ac:dyDescent="0.25">
      <c r="B26" s="13" t="str">
        <f>RegPInd!A20</f>
        <v>4.1.2</v>
      </c>
      <c r="C26" s="18" t="str">
        <f>RegPInd!B20</f>
        <v>Planned, managed and implemented developmentally sequenced teaching and learning processes to meet curriculum requirements and varied teaching contexts</v>
      </c>
      <c r="D26" s="13" t="str">
        <f>RegPInd!D20</f>
        <v>COI</v>
      </c>
      <c r="E26" s="13">
        <f>RegPInd!E20</f>
        <v>1</v>
      </c>
      <c r="F26" s="46"/>
      <c r="G26" s="81"/>
      <c r="H26" s="261" t="b">
        <v>0</v>
      </c>
      <c r="I26" s="6" t="b">
        <f t="shared" si="7"/>
        <v>1</v>
      </c>
      <c r="J26" s="137"/>
      <c r="K26" s="137"/>
      <c r="L26" s="137"/>
      <c r="M26" s="137"/>
      <c r="N26" s="137"/>
      <c r="Q26" s="6" t="b">
        <f t="shared" si="3"/>
        <v>0</v>
      </c>
      <c r="R26" s="6" t="b">
        <f t="shared" si="3"/>
        <v>0</v>
      </c>
      <c r="S26" s="6" t="b">
        <f t="shared" si="3"/>
        <v>0</v>
      </c>
      <c r="T26" s="6" t="b">
        <f t="shared" si="3"/>
        <v>0</v>
      </c>
      <c r="U26" s="6" t="b">
        <f t="shared" si="1"/>
        <v>1</v>
      </c>
      <c r="V26" s="6" t="b">
        <f t="shared" si="8"/>
        <v>1</v>
      </c>
      <c r="W26" s="6" t="b">
        <f t="shared" si="9"/>
        <v>1</v>
      </c>
      <c r="X26" s="6" t="b">
        <f t="shared" si="10"/>
        <v>1</v>
      </c>
      <c r="Y26" s="6" t="b">
        <f t="shared" si="11"/>
        <v>1</v>
      </c>
    </row>
    <row r="27" spans="2:25" ht="50.1" customHeight="1" x14ac:dyDescent="0.25">
      <c r="B27" s="13" t="str">
        <f>RegPInd!A21</f>
        <v>4.2.2</v>
      </c>
      <c r="C27" s="18" t="str">
        <f>RegPInd!B21</f>
        <v>Set achievable and appropriate learning outcomes that are aligned with learning competencies</v>
      </c>
      <c r="D27" s="13" t="str">
        <f>RegPInd!D21</f>
        <v>NCOI</v>
      </c>
      <c r="E27" s="13">
        <f>RegPInd!E21</f>
        <v>2</v>
      </c>
      <c r="F27" s="46"/>
      <c r="G27" s="81">
        <v>7.0000000000000007E-2</v>
      </c>
      <c r="H27" s="261" t="b">
        <v>1</v>
      </c>
      <c r="I27" s="6" t="b">
        <f t="shared" si="7"/>
        <v>1</v>
      </c>
      <c r="J27" s="137"/>
      <c r="K27" s="137"/>
      <c r="L27" s="137"/>
      <c r="M27" s="137"/>
      <c r="N27" s="137"/>
      <c r="Q27" s="6" t="b">
        <f t="shared" si="3"/>
        <v>0</v>
      </c>
      <c r="R27" s="6" t="b">
        <f t="shared" si="3"/>
        <v>0</v>
      </c>
      <c r="S27" s="6" t="b">
        <f t="shared" si="3"/>
        <v>0</v>
      </c>
      <c r="T27" s="6" t="b">
        <f t="shared" si="3"/>
        <v>0</v>
      </c>
      <c r="U27" s="6" t="b">
        <f t="shared" si="1"/>
        <v>1</v>
      </c>
      <c r="V27" s="6" t="b">
        <f t="shared" si="8"/>
        <v>1</v>
      </c>
      <c r="W27" s="6" t="b">
        <f t="shared" si="9"/>
        <v>1</v>
      </c>
      <c r="X27" s="6" t="b">
        <f t="shared" si="10"/>
        <v>1</v>
      </c>
      <c r="Y27" s="6" t="b">
        <f t="shared" si="11"/>
        <v>1</v>
      </c>
    </row>
    <row r="28" spans="2:25" ht="50.1" customHeight="1" x14ac:dyDescent="0.25">
      <c r="B28" s="13" t="str">
        <f>RegPInd!A22</f>
        <v>4.3.2</v>
      </c>
      <c r="C28" s="18" t="str">
        <f>RegPInd!B22</f>
        <v>Adapted and implemented learning programs that ensure relevance and responsiveness to the needs of all learners</v>
      </c>
      <c r="D28" s="13" t="str">
        <f>RegPInd!D22</f>
        <v>NCOI</v>
      </c>
      <c r="E28" s="13">
        <f>RegPInd!E22</f>
        <v>3</v>
      </c>
      <c r="F28" s="46"/>
      <c r="G28" s="81"/>
      <c r="H28" s="261" t="b">
        <v>0</v>
      </c>
      <c r="I28" s="6" t="b">
        <f t="shared" si="7"/>
        <v>1</v>
      </c>
      <c r="J28" s="137"/>
      <c r="K28" s="137"/>
      <c r="L28" s="137"/>
      <c r="M28" s="137"/>
      <c r="N28" s="137"/>
      <c r="Q28" s="6" t="b">
        <f t="shared" si="3"/>
        <v>0</v>
      </c>
      <c r="R28" s="6" t="b">
        <f t="shared" si="3"/>
        <v>0</v>
      </c>
      <c r="S28" s="6" t="b">
        <f t="shared" si="3"/>
        <v>0</v>
      </c>
      <c r="T28" s="6" t="b">
        <f t="shared" si="3"/>
        <v>0</v>
      </c>
      <c r="U28" s="6" t="b">
        <f t="shared" si="1"/>
        <v>1</v>
      </c>
      <c r="V28" s="6" t="b">
        <f t="shared" si="8"/>
        <v>1</v>
      </c>
      <c r="W28" s="6" t="b">
        <f t="shared" si="9"/>
        <v>1</v>
      </c>
      <c r="X28" s="6" t="b">
        <f t="shared" si="10"/>
        <v>1</v>
      </c>
      <c r="Y28" s="6" t="b">
        <f t="shared" si="11"/>
        <v>1</v>
      </c>
    </row>
    <row r="29" spans="2:25" ht="50.1" customHeight="1" x14ac:dyDescent="0.25">
      <c r="B29" s="13" t="str">
        <f>RegPInd!A23</f>
        <v>4.4.2</v>
      </c>
      <c r="C29" s="18" t="str">
        <f>RegPInd!B23</f>
        <v>Participated in collegial discussions that use teacher and learner feedback to  enrich teaching practice</v>
      </c>
      <c r="D29" s="13" t="str">
        <f>RegPInd!D23</f>
        <v>NCOI</v>
      </c>
      <c r="E29" s="13">
        <f>RegPInd!E23</f>
        <v>1</v>
      </c>
      <c r="F29" s="46"/>
      <c r="G29" s="81"/>
      <c r="H29" s="261" t="b">
        <v>0</v>
      </c>
      <c r="I29" s="6" t="b">
        <f t="shared" si="7"/>
        <v>1</v>
      </c>
      <c r="J29" s="137"/>
      <c r="K29" s="137"/>
      <c r="L29" s="137"/>
      <c r="M29" s="137"/>
      <c r="N29" s="137"/>
      <c r="Q29" s="6" t="b">
        <f t="shared" si="3"/>
        <v>0</v>
      </c>
      <c r="R29" s="6" t="b">
        <f t="shared" si="3"/>
        <v>0</v>
      </c>
      <c r="S29" s="6" t="b">
        <f t="shared" si="3"/>
        <v>0</v>
      </c>
      <c r="T29" s="6" t="b">
        <f t="shared" si="3"/>
        <v>0</v>
      </c>
      <c r="U29" s="6" t="b">
        <f t="shared" si="1"/>
        <v>1</v>
      </c>
      <c r="V29" s="6" t="b">
        <f t="shared" si="8"/>
        <v>1</v>
      </c>
      <c r="W29" s="6" t="b">
        <f t="shared" si="9"/>
        <v>1</v>
      </c>
      <c r="X29" s="6" t="b">
        <f t="shared" si="10"/>
        <v>1</v>
      </c>
      <c r="Y29" s="6" t="b">
        <f t="shared" si="11"/>
        <v>1</v>
      </c>
    </row>
    <row r="30" spans="2:25" ht="50.1" customHeight="1" x14ac:dyDescent="0.25">
      <c r="B30" s="13" t="str">
        <f>RegPInd!A24</f>
        <v>4.5.2</v>
      </c>
      <c r="C30" s="18" t="str">
        <f>RegPInd!B24</f>
        <v>Selected, developed, organized and used appropriate teaching and learning resources, including ICT, to address learning goals</v>
      </c>
      <c r="D30" s="13" t="str">
        <f>RegPInd!D24</f>
        <v>COI</v>
      </c>
      <c r="E30" s="13">
        <f>RegPInd!E24</f>
        <v>2</v>
      </c>
      <c r="F30" s="46"/>
      <c r="G30" s="81"/>
      <c r="H30" s="261" t="b">
        <v>0</v>
      </c>
      <c r="I30" s="6" t="b">
        <f t="shared" si="7"/>
        <v>1</v>
      </c>
      <c r="J30" s="137"/>
      <c r="K30" s="137"/>
      <c r="L30" s="137"/>
      <c r="M30" s="137"/>
      <c r="N30" s="137"/>
      <c r="Q30" s="6" t="b">
        <f t="shared" si="3"/>
        <v>0</v>
      </c>
      <c r="R30" s="6" t="b">
        <f t="shared" si="3"/>
        <v>0</v>
      </c>
      <c r="S30" s="6" t="b">
        <f t="shared" si="3"/>
        <v>0</v>
      </c>
      <c r="T30" s="6" t="b">
        <f t="shared" si="3"/>
        <v>0</v>
      </c>
      <c r="U30" s="6" t="b">
        <f t="shared" si="1"/>
        <v>1</v>
      </c>
      <c r="V30" s="6" t="b">
        <f t="shared" si="8"/>
        <v>1</v>
      </c>
      <c r="W30" s="6" t="b">
        <f t="shared" si="9"/>
        <v>1</v>
      </c>
      <c r="X30" s="6" t="b">
        <f t="shared" si="10"/>
        <v>1</v>
      </c>
      <c r="Y30" s="6" t="b">
        <f t="shared" si="11"/>
        <v>1</v>
      </c>
    </row>
    <row r="31" spans="2:25" s="7" customFormat="1" x14ac:dyDescent="0.25">
      <c r="B31" s="347" t="s">
        <v>899</v>
      </c>
      <c r="C31" s="347"/>
      <c r="D31" s="347"/>
      <c r="E31" s="347"/>
      <c r="F31" s="348"/>
      <c r="G31" s="203"/>
      <c r="H31" s="6"/>
      <c r="I31" s="6" t="b">
        <f t="shared" si="7"/>
        <v>1</v>
      </c>
      <c r="J31" s="13"/>
      <c r="K31" s="13"/>
      <c r="L31" s="13"/>
      <c r="M31" s="13"/>
      <c r="N31" s="13"/>
      <c r="Q31" s="6" t="b">
        <f t="shared" si="3"/>
        <v>0</v>
      </c>
      <c r="R31" s="6" t="b">
        <f t="shared" si="3"/>
        <v>0</v>
      </c>
      <c r="S31" s="6" t="b">
        <f t="shared" si="3"/>
        <v>0</v>
      </c>
      <c r="T31" s="6" t="b">
        <f t="shared" si="3"/>
        <v>0</v>
      </c>
      <c r="U31" s="6" t="b">
        <f t="shared" si="1"/>
        <v>1</v>
      </c>
      <c r="V31" s="6" t="b">
        <f t="shared" si="8"/>
        <v>1</v>
      </c>
      <c r="W31" s="6" t="b">
        <f t="shared" si="9"/>
        <v>1</v>
      </c>
      <c r="X31" s="6" t="b">
        <f t="shared" si="10"/>
        <v>1</v>
      </c>
      <c r="Y31" s="6" t="b">
        <f t="shared" si="11"/>
        <v>1</v>
      </c>
    </row>
    <row r="32" spans="2:25" ht="50.1" customHeight="1" x14ac:dyDescent="0.25">
      <c r="B32" s="13" t="str">
        <f>RegPInd!A25</f>
        <v>5.1.2</v>
      </c>
      <c r="C32" s="18" t="str">
        <f>RegPInd!B25</f>
        <v>Designed, selected, organized and used diagnostic, formative and summative assessment strategies consistent with curriculum requirements</v>
      </c>
      <c r="D32" s="13" t="str">
        <f>RegPInd!D25</f>
        <v>COI</v>
      </c>
      <c r="E32" s="13">
        <f>RegPInd!E25</f>
        <v>1</v>
      </c>
      <c r="F32" s="46"/>
      <c r="G32" s="81"/>
      <c r="H32" s="261" t="b">
        <v>0</v>
      </c>
      <c r="I32" s="6" t="b">
        <f t="shared" si="7"/>
        <v>1</v>
      </c>
      <c r="J32" s="137"/>
      <c r="K32" s="137"/>
      <c r="L32" s="137"/>
      <c r="M32" s="137"/>
      <c r="N32" s="137"/>
      <c r="Q32" s="6" t="b">
        <f t="shared" si="3"/>
        <v>0</v>
      </c>
      <c r="R32" s="6" t="b">
        <f t="shared" si="3"/>
        <v>0</v>
      </c>
      <c r="S32" s="6" t="b">
        <f t="shared" si="3"/>
        <v>0</v>
      </c>
      <c r="T32" s="6" t="b">
        <f t="shared" si="3"/>
        <v>0</v>
      </c>
      <c r="U32" s="6" t="b">
        <f t="shared" si="1"/>
        <v>1</v>
      </c>
      <c r="V32" s="6" t="b">
        <f t="shared" si="8"/>
        <v>1</v>
      </c>
      <c r="W32" s="6" t="b">
        <f t="shared" si="9"/>
        <v>1</v>
      </c>
      <c r="X32" s="6" t="b">
        <f t="shared" si="10"/>
        <v>1</v>
      </c>
      <c r="Y32" s="6" t="b">
        <f t="shared" si="11"/>
        <v>1</v>
      </c>
    </row>
    <row r="33" spans="2:25" ht="50.1" customHeight="1" x14ac:dyDescent="0.25">
      <c r="B33" s="13" t="str">
        <f>RegPInd!A26</f>
        <v>5.2.2</v>
      </c>
      <c r="C33" s="18" t="str">
        <f>RegPInd!B26</f>
        <v>Monitored and evaluated learner progress and achievement using learner attainment data</v>
      </c>
      <c r="D33" s="13" t="str">
        <f>RegPInd!D26</f>
        <v>NCOI</v>
      </c>
      <c r="E33" s="13">
        <f>RegPInd!E26</f>
        <v>1</v>
      </c>
      <c r="F33" s="46"/>
      <c r="G33" s="81"/>
      <c r="H33" s="261" t="b">
        <v>0</v>
      </c>
      <c r="I33" s="6" t="b">
        <f t="shared" si="7"/>
        <v>1</v>
      </c>
      <c r="J33" s="137"/>
      <c r="K33" s="137"/>
      <c r="L33" s="137"/>
      <c r="M33" s="137"/>
      <c r="N33" s="137"/>
      <c r="Q33" s="6" t="b">
        <f t="shared" si="3"/>
        <v>0</v>
      </c>
      <c r="R33" s="6" t="b">
        <f t="shared" si="3"/>
        <v>0</v>
      </c>
      <c r="S33" s="6" t="b">
        <f t="shared" si="3"/>
        <v>0</v>
      </c>
      <c r="T33" s="6" t="b">
        <f t="shared" si="3"/>
        <v>0</v>
      </c>
      <c r="U33" s="6" t="b">
        <f t="shared" si="1"/>
        <v>1</v>
      </c>
      <c r="V33" s="6" t="b">
        <f t="shared" si="8"/>
        <v>1</v>
      </c>
      <c r="W33" s="6" t="b">
        <f t="shared" si="9"/>
        <v>1</v>
      </c>
      <c r="X33" s="6" t="b">
        <f t="shared" si="10"/>
        <v>1</v>
      </c>
      <c r="Y33" s="6" t="b">
        <f t="shared" si="11"/>
        <v>1</v>
      </c>
    </row>
    <row r="34" spans="2:25" ht="50.1" customHeight="1" x14ac:dyDescent="0.25">
      <c r="B34" s="13" t="str">
        <f>RegPInd!A27</f>
        <v>5.3.2</v>
      </c>
      <c r="C34" s="18" t="str">
        <f>RegPInd!B27</f>
        <v>Used strategies for providing timely, accurate and constructive feedback to improve learner performance</v>
      </c>
      <c r="D34" s="13" t="str">
        <f>RegPInd!D27</f>
        <v>COI</v>
      </c>
      <c r="E34" s="13">
        <f>RegPInd!E27</f>
        <v>2</v>
      </c>
      <c r="F34" s="46"/>
      <c r="G34" s="81">
        <v>7.0000000000000007E-2</v>
      </c>
      <c r="H34" s="261" t="b">
        <v>1</v>
      </c>
      <c r="I34" s="6" t="b">
        <f t="shared" si="7"/>
        <v>1</v>
      </c>
      <c r="J34" s="137"/>
      <c r="K34" s="137">
        <v>0</v>
      </c>
      <c r="L34" s="137">
        <v>1</v>
      </c>
      <c r="M34" s="137">
        <v>0</v>
      </c>
      <c r="N34" s="137">
        <v>1</v>
      </c>
      <c r="Q34" s="6" t="b">
        <f t="shared" si="3"/>
        <v>1</v>
      </c>
      <c r="R34" s="6" t="b">
        <f t="shared" si="3"/>
        <v>1</v>
      </c>
      <c r="S34" s="6" t="b">
        <f t="shared" si="3"/>
        <v>1</v>
      </c>
      <c r="T34" s="6" t="b">
        <f t="shared" si="3"/>
        <v>1</v>
      </c>
      <c r="U34" s="6" t="b">
        <f t="shared" si="1"/>
        <v>1</v>
      </c>
      <c r="V34" s="6" t="b">
        <f t="shared" si="8"/>
        <v>1</v>
      </c>
      <c r="W34" s="6" t="b">
        <f t="shared" si="9"/>
        <v>1</v>
      </c>
      <c r="X34" s="6" t="b">
        <f t="shared" si="10"/>
        <v>1</v>
      </c>
      <c r="Y34" s="6" t="b">
        <f t="shared" si="11"/>
        <v>1</v>
      </c>
    </row>
    <row r="35" spans="2:25" ht="50.1" customHeight="1" x14ac:dyDescent="0.25">
      <c r="B35" s="13" t="str">
        <f>RegPInd!A28</f>
        <v>5.4.2</v>
      </c>
      <c r="C35" s="18" t="str">
        <f>RegPInd!B28</f>
        <v>Communicated promptly and clearly the learners’ needs, progress and achievement  to key stakeholders, including parents/guardians</v>
      </c>
      <c r="D35" s="13" t="str">
        <f>RegPInd!D28</f>
        <v>NCOI</v>
      </c>
      <c r="E35" s="13">
        <f>RegPInd!E28</f>
        <v>1</v>
      </c>
      <c r="F35" s="46"/>
      <c r="G35" s="81"/>
      <c r="H35" s="261" t="b">
        <v>0</v>
      </c>
      <c r="I35" s="6" t="b">
        <f t="shared" si="7"/>
        <v>1</v>
      </c>
      <c r="J35" s="137"/>
      <c r="K35" s="137"/>
      <c r="L35" s="137"/>
      <c r="M35" s="137"/>
      <c r="N35" s="137"/>
      <c r="Q35" s="6" t="b">
        <f t="shared" si="3"/>
        <v>0</v>
      </c>
      <c r="R35" s="6" t="b">
        <f t="shared" si="3"/>
        <v>0</v>
      </c>
      <c r="S35" s="6" t="b">
        <f t="shared" si="3"/>
        <v>0</v>
      </c>
      <c r="T35" s="6" t="b">
        <f t="shared" si="3"/>
        <v>0</v>
      </c>
      <c r="U35" s="6" t="b">
        <f t="shared" si="1"/>
        <v>1</v>
      </c>
      <c r="V35" s="6" t="b">
        <f t="shared" si="8"/>
        <v>1</v>
      </c>
      <c r="W35" s="6" t="b">
        <f t="shared" si="9"/>
        <v>1</v>
      </c>
      <c r="X35" s="6" t="b">
        <f t="shared" si="10"/>
        <v>1</v>
      </c>
      <c r="Y35" s="6" t="b">
        <f t="shared" si="11"/>
        <v>1</v>
      </c>
    </row>
    <row r="36" spans="2:25" ht="50.1" customHeight="1" x14ac:dyDescent="0.25">
      <c r="B36" s="13" t="str">
        <f>RegPInd!A29</f>
        <v>5.5.2</v>
      </c>
      <c r="C36" s="18" t="str">
        <f>RegPInd!B29</f>
        <v>Utilized assessment data to inform the modification of teaching and learning practices and programs</v>
      </c>
      <c r="D36" s="13" t="str">
        <f>RegPInd!D29</f>
        <v>NCOI</v>
      </c>
      <c r="E36" s="13">
        <f>RegPInd!E29</f>
        <v>3</v>
      </c>
      <c r="F36" s="46"/>
      <c r="G36" s="81">
        <v>7.0000000000000007E-2</v>
      </c>
      <c r="H36" s="261" t="b">
        <v>1</v>
      </c>
      <c r="I36" s="6" t="b">
        <f t="shared" si="7"/>
        <v>1</v>
      </c>
      <c r="J36" s="137"/>
      <c r="K36" s="137"/>
      <c r="L36" s="137"/>
      <c r="M36" s="137"/>
      <c r="N36" s="137"/>
      <c r="Q36" s="6" t="b">
        <f t="shared" si="3"/>
        <v>0</v>
      </c>
      <c r="R36" s="6" t="b">
        <f t="shared" si="3"/>
        <v>0</v>
      </c>
      <c r="S36" s="6" t="b">
        <f t="shared" si="3"/>
        <v>0</v>
      </c>
      <c r="T36" s="6" t="b">
        <f t="shared" si="3"/>
        <v>0</v>
      </c>
      <c r="U36" s="6" t="b">
        <f t="shared" si="1"/>
        <v>1</v>
      </c>
      <c r="V36" s="6" t="b">
        <f t="shared" si="8"/>
        <v>1</v>
      </c>
      <c r="W36" s="6" t="b">
        <f t="shared" si="9"/>
        <v>1</v>
      </c>
      <c r="X36" s="6" t="b">
        <f t="shared" si="10"/>
        <v>1</v>
      </c>
      <c r="Y36" s="6" t="b">
        <f t="shared" si="11"/>
        <v>1</v>
      </c>
    </row>
    <row r="37" spans="2:25" s="7" customFormat="1" x14ac:dyDescent="0.25">
      <c r="B37" s="347" t="s">
        <v>900</v>
      </c>
      <c r="C37" s="347"/>
      <c r="D37" s="347"/>
      <c r="E37" s="347"/>
      <c r="F37" s="348"/>
      <c r="G37" s="203"/>
      <c r="H37" s="6"/>
      <c r="I37" s="6" t="b">
        <f t="shared" si="7"/>
        <v>1</v>
      </c>
      <c r="J37" s="13"/>
      <c r="K37" s="13"/>
      <c r="L37" s="13"/>
      <c r="M37" s="13"/>
      <c r="N37" s="13"/>
      <c r="Q37" s="6" t="b">
        <f t="shared" si="3"/>
        <v>0</v>
      </c>
      <c r="R37" s="6" t="b">
        <f t="shared" si="3"/>
        <v>0</v>
      </c>
      <c r="S37" s="6" t="b">
        <f t="shared" si="3"/>
        <v>0</v>
      </c>
      <c r="T37" s="6" t="b">
        <f t="shared" si="3"/>
        <v>0</v>
      </c>
      <c r="U37" s="6" t="b">
        <f t="shared" si="1"/>
        <v>1</v>
      </c>
      <c r="V37" s="6" t="b">
        <f t="shared" si="8"/>
        <v>1</v>
      </c>
      <c r="W37" s="6" t="b">
        <f t="shared" si="9"/>
        <v>1</v>
      </c>
      <c r="X37" s="6" t="b">
        <f t="shared" si="10"/>
        <v>1</v>
      </c>
      <c r="Y37" s="6" t="b">
        <f t="shared" si="11"/>
        <v>1</v>
      </c>
    </row>
    <row r="38" spans="2:25" ht="50.1" customHeight="1" x14ac:dyDescent="0.25">
      <c r="B38" s="13" t="str">
        <f>RegPInd!A30</f>
        <v>6.1.2</v>
      </c>
      <c r="C38" s="19" t="str">
        <f>RegPInd!B30</f>
        <v>Maintained learning environments that are responsive to community contexts</v>
      </c>
      <c r="D38" s="13" t="str">
        <f>RegPInd!D30</f>
        <v>NCOI</v>
      </c>
      <c r="E38" s="13">
        <f>RegPInd!E30</f>
        <v>3</v>
      </c>
      <c r="F38" s="46"/>
      <c r="G38" s="81"/>
      <c r="H38" s="261" t="b">
        <v>0</v>
      </c>
      <c r="I38" s="6" t="b">
        <f t="shared" si="7"/>
        <v>1</v>
      </c>
      <c r="J38" s="137"/>
      <c r="K38" s="137"/>
      <c r="L38" s="137"/>
      <c r="M38" s="137"/>
      <c r="N38" s="137"/>
      <c r="Q38" s="6" t="b">
        <f t="shared" si="3"/>
        <v>0</v>
      </c>
      <c r="R38" s="6" t="b">
        <f t="shared" si="3"/>
        <v>0</v>
      </c>
      <c r="S38" s="6" t="b">
        <f t="shared" si="3"/>
        <v>0</v>
      </c>
      <c r="T38" s="6" t="b">
        <f t="shared" si="3"/>
        <v>0</v>
      </c>
      <c r="U38" s="6" t="b">
        <f t="shared" si="1"/>
        <v>1</v>
      </c>
      <c r="V38" s="6" t="b">
        <f t="shared" si="8"/>
        <v>1</v>
      </c>
      <c r="W38" s="6" t="b">
        <f t="shared" si="9"/>
        <v>1</v>
      </c>
      <c r="X38" s="6" t="b">
        <f t="shared" si="10"/>
        <v>1</v>
      </c>
      <c r="Y38" s="6" t="b">
        <f t="shared" si="11"/>
        <v>1</v>
      </c>
    </row>
    <row r="39" spans="2:25" ht="50.1" customHeight="1" x14ac:dyDescent="0.25">
      <c r="B39" s="13" t="str">
        <f>RegPInd!A31</f>
        <v>6.2.2</v>
      </c>
      <c r="C39" s="19" t="str">
        <f>RegPInd!B31</f>
        <v>Built relationships with parents/ guardians and the wider school community to facilitate involvement in the educative process</v>
      </c>
      <c r="D39" s="13" t="str">
        <f>RegPInd!D31</f>
        <v>NCOI</v>
      </c>
      <c r="E39" s="13">
        <f>RegPInd!E31</f>
        <v>2</v>
      </c>
      <c r="F39" s="46"/>
      <c r="G39" s="81">
        <v>7.0000000000000007E-2</v>
      </c>
      <c r="H39" s="261" t="b">
        <v>1</v>
      </c>
      <c r="I39" s="6" t="b">
        <f t="shared" si="7"/>
        <v>1</v>
      </c>
      <c r="J39" s="137"/>
      <c r="K39" s="137"/>
      <c r="L39" s="137"/>
      <c r="M39" s="137"/>
      <c r="N39" s="137"/>
      <c r="Q39" s="6" t="b">
        <f t="shared" si="3"/>
        <v>0</v>
      </c>
      <c r="R39" s="6" t="b">
        <f t="shared" si="3"/>
        <v>0</v>
      </c>
      <c r="S39" s="6" t="b">
        <f t="shared" si="3"/>
        <v>0</v>
      </c>
      <c r="T39" s="6" t="b">
        <f t="shared" si="3"/>
        <v>0</v>
      </c>
      <c r="U39" s="6" t="b">
        <f t="shared" si="1"/>
        <v>1</v>
      </c>
      <c r="V39" s="6" t="b">
        <f t="shared" si="8"/>
        <v>1</v>
      </c>
      <c r="W39" s="6" t="b">
        <f t="shared" si="9"/>
        <v>1</v>
      </c>
      <c r="X39" s="6" t="b">
        <f t="shared" si="10"/>
        <v>1</v>
      </c>
      <c r="Y39" s="6" t="b">
        <f t="shared" si="11"/>
        <v>1</v>
      </c>
    </row>
    <row r="40" spans="2:25" ht="50.1" customHeight="1" x14ac:dyDescent="0.25">
      <c r="B40" s="13" t="str">
        <f>RegPInd!A32</f>
        <v>6.3.2</v>
      </c>
      <c r="C40" s="19" t="str">
        <f>RegPInd!B32</f>
        <v>Reviewed regularly personal teaching practice using existing laws and regulations that apply to the teaching profession and the responsibilities specified in the Code of Ethics for Professional Teachers</v>
      </c>
      <c r="D40" s="13" t="str">
        <f>RegPInd!D32</f>
        <v>NCOI</v>
      </c>
      <c r="E40" s="13">
        <f>RegPInd!E32</f>
        <v>3</v>
      </c>
      <c r="F40" s="46"/>
      <c r="G40" s="81"/>
      <c r="H40" s="261" t="b">
        <v>0</v>
      </c>
      <c r="I40" s="6" t="b">
        <f t="shared" si="7"/>
        <v>1</v>
      </c>
      <c r="J40" s="137"/>
      <c r="K40" s="137"/>
      <c r="L40" s="137"/>
      <c r="M40" s="137"/>
      <c r="N40" s="137"/>
      <c r="Q40" s="6" t="b">
        <f t="shared" si="3"/>
        <v>0</v>
      </c>
      <c r="R40" s="6" t="b">
        <f t="shared" si="3"/>
        <v>0</v>
      </c>
      <c r="S40" s="6" t="b">
        <f t="shared" si="3"/>
        <v>0</v>
      </c>
      <c r="T40" s="6" t="b">
        <f t="shared" si="3"/>
        <v>0</v>
      </c>
      <c r="U40" s="6" t="b">
        <f t="shared" si="1"/>
        <v>1</v>
      </c>
      <c r="V40" s="6" t="b">
        <f t="shared" si="8"/>
        <v>1</v>
      </c>
      <c r="W40" s="6" t="b">
        <f t="shared" si="9"/>
        <v>1</v>
      </c>
      <c r="X40" s="6" t="b">
        <f t="shared" si="10"/>
        <v>1</v>
      </c>
      <c r="Y40" s="6" t="b">
        <f t="shared" si="11"/>
        <v>1</v>
      </c>
    </row>
    <row r="41" spans="2:25" ht="50.1" customHeight="1" x14ac:dyDescent="0.25">
      <c r="B41" s="13" t="str">
        <f>RegPInd!A33</f>
        <v>6.4.2</v>
      </c>
      <c r="C41" s="19" t="str">
        <f>RegPInd!B33</f>
        <v>Complied with and implemented school policies and procedures consistently to foster harmonious relationships with learners, parents, and other stakeholders</v>
      </c>
      <c r="D41" s="13" t="str">
        <f>RegPInd!D33</f>
        <v>NCOI</v>
      </c>
      <c r="E41" s="13">
        <f>RegPInd!E33</f>
        <v>3</v>
      </c>
      <c r="F41" s="46"/>
      <c r="G41" s="81"/>
      <c r="H41" s="261" t="b">
        <v>0</v>
      </c>
      <c r="I41" s="6" t="b">
        <f t="shared" si="7"/>
        <v>1</v>
      </c>
      <c r="J41" s="137"/>
      <c r="K41" s="137"/>
      <c r="L41" s="137"/>
      <c r="M41" s="137"/>
      <c r="N41" s="137"/>
      <c r="Q41" s="6" t="b">
        <f t="shared" si="3"/>
        <v>0</v>
      </c>
      <c r="R41" s="6" t="b">
        <f t="shared" si="3"/>
        <v>0</v>
      </c>
      <c r="S41" s="6" t="b">
        <f t="shared" si="3"/>
        <v>0</v>
      </c>
      <c r="T41" s="6" t="b">
        <f t="shared" si="3"/>
        <v>0</v>
      </c>
      <c r="U41" s="6" t="b">
        <f t="shared" si="1"/>
        <v>1</v>
      </c>
      <c r="V41" s="6" t="b">
        <f t="shared" si="8"/>
        <v>1</v>
      </c>
      <c r="W41" s="6" t="b">
        <f t="shared" si="9"/>
        <v>1</v>
      </c>
      <c r="X41" s="6" t="b">
        <f t="shared" si="10"/>
        <v>1</v>
      </c>
      <c r="Y41" s="6" t="b">
        <f t="shared" si="11"/>
        <v>1</v>
      </c>
    </row>
    <row r="42" spans="2:25" s="7" customFormat="1" x14ac:dyDescent="0.25">
      <c r="B42" s="347" t="s">
        <v>901</v>
      </c>
      <c r="C42" s="347"/>
      <c r="D42" s="347"/>
      <c r="E42" s="347"/>
      <c r="F42" s="348"/>
      <c r="G42" s="203"/>
      <c r="H42" s="6"/>
      <c r="I42" s="6" t="b">
        <f t="shared" si="7"/>
        <v>1</v>
      </c>
      <c r="J42" s="13"/>
      <c r="K42" s="13"/>
      <c r="L42" s="13"/>
      <c r="M42" s="13"/>
      <c r="N42" s="13"/>
      <c r="Q42" s="6" t="b">
        <f t="shared" si="3"/>
        <v>0</v>
      </c>
      <c r="R42" s="6" t="b">
        <f t="shared" si="3"/>
        <v>0</v>
      </c>
      <c r="S42" s="6" t="b">
        <f t="shared" si="3"/>
        <v>0</v>
      </c>
      <c r="T42" s="6" t="b">
        <f t="shared" si="3"/>
        <v>0</v>
      </c>
      <c r="U42" s="6" t="b">
        <f t="shared" si="1"/>
        <v>1</v>
      </c>
      <c r="V42" s="6" t="b">
        <f t="shared" si="8"/>
        <v>1</v>
      </c>
      <c r="W42" s="6" t="b">
        <f t="shared" si="9"/>
        <v>1</v>
      </c>
      <c r="X42" s="6" t="b">
        <f t="shared" si="10"/>
        <v>1</v>
      </c>
      <c r="Y42" s="6" t="b">
        <f t="shared" si="11"/>
        <v>1</v>
      </c>
    </row>
    <row r="43" spans="2:25" ht="50.1" customHeight="1" x14ac:dyDescent="0.25">
      <c r="B43" s="13" t="str">
        <f>RegPInd!A34</f>
        <v>7.1.2</v>
      </c>
      <c r="C43" s="19" t="str">
        <f>RegPInd!B34</f>
        <v>Applied a personal philosophy of teaching that is learner-centered</v>
      </c>
      <c r="D43" s="13" t="str">
        <f>RegPInd!D34</f>
        <v>NCOI</v>
      </c>
      <c r="E43" s="13">
        <f>RegPInd!E34</f>
        <v>3</v>
      </c>
      <c r="F43" s="46"/>
      <c r="G43" s="81"/>
      <c r="H43" s="261" t="b">
        <v>0</v>
      </c>
      <c r="I43" s="6" t="b">
        <f t="shared" si="7"/>
        <v>1</v>
      </c>
      <c r="J43" s="137"/>
      <c r="K43" s="137"/>
      <c r="L43" s="137"/>
      <c r="M43" s="137"/>
      <c r="N43" s="137"/>
      <c r="Q43" s="6" t="b">
        <f t="shared" si="3"/>
        <v>0</v>
      </c>
      <c r="R43" s="6" t="b">
        <f t="shared" si="3"/>
        <v>0</v>
      </c>
      <c r="S43" s="6" t="b">
        <f t="shared" si="3"/>
        <v>0</v>
      </c>
      <c r="T43" s="6" t="b">
        <f t="shared" si="3"/>
        <v>0</v>
      </c>
      <c r="U43" s="6" t="b">
        <f t="shared" si="1"/>
        <v>1</v>
      </c>
      <c r="V43" s="6" t="b">
        <f t="shared" si="8"/>
        <v>1</v>
      </c>
      <c r="W43" s="6" t="b">
        <f t="shared" si="9"/>
        <v>1</v>
      </c>
      <c r="X43" s="6" t="b">
        <f t="shared" si="10"/>
        <v>1</v>
      </c>
      <c r="Y43" s="6" t="b">
        <f t="shared" si="11"/>
        <v>1</v>
      </c>
    </row>
    <row r="44" spans="2:25" ht="50.1" customHeight="1" x14ac:dyDescent="0.25">
      <c r="B44" s="13" t="str">
        <f>RegPInd!A35</f>
        <v>7.2.2</v>
      </c>
      <c r="C44" s="19" t="str">
        <f>RegPInd!B35</f>
        <v>Adopted practices that uphold the dignity of teaching as a profession by exhibiting qualities such as caring attitude, respect and integrity</v>
      </c>
      <c r="D44" s="13" t="str">
        <f>RegPInd!D35</f>
        <v>NCOI</v>
      </c>
      <c r="E44" s="13">
        <f>RegPInd!E35</f>
        <v>3</v>
      </c>
      <c r="F44" s="46"/>
      <c r="G44" s="81"/>
      <c r="H44" s="261" t="b">
        <v>0</v>
      </c>
      <c r="I44" s="6" t="b">
        <f t="shared" si="7"/>
        <v>1</v>
      </c>
      <c r="J44" s="137"/>
      <c r="K44" s="137"/>
      <c r="L44" s="137"/>
      <c r="M44" s="137"/>
      <c r="N44" s="137"/>
      <c r="Q44" s="6" t="b">
        <f t="shared" si="3"/>
        <v>0</v>
      </c>
      <c r="R44" s="6" t="b">
        <f t="shared" si="3"/>
        <v>0</v>
      </c>
      <c r="S44" s="6" t="b">
        <f t="shared" si="3"/>
        <v>0</v>
      </c>
      <c r="T44" s="6" t="b">
        <f t="shared" si="3"/>
        <v>0</v>
      </c>
      <c r="U44" s="6" t="b">
        <f t="shared" si="1"/>
        <v>1</v>
      </c>
      <c r="V44" s="6" t="b">
        <f t="shared" si="8"/>
        <v>1</v>
      </c>
      <c r="W44" s="6" t="b">
        <f t="shared" si="9"/>
        <v>1</v>
      </c>
      <c r="X44" s="6" t="b">
        <f t="shared" si="10"/>
        <v>1</v>
      </c>
      <c r="Y44" s="6" t="b">
        <f t="shared" si="11"/>
        <v>1</v>
      </c>
    </row>
    <row r="45" spans="2:25" ht="50.1" customHeight="1" x14ac:dyDescent="0.25">
      <c r="B45" s="13" t="str">
        <f>RegPInd!A36</f>
        <v>7.3.2</v>
      </c>
      <c r="C45" s="19" t="str">
        <f>RegPInd!B36</f>
        <v>Participated in professional networks to share knowledge and to enhance practice</v>
      </c>
      <c r="D45" s="13" t="str">
        <f>RegPInd!D36</f>
        <v>NCOI</v>
      </c>
      <c r="E45" s="13">
        <f>RegPInd!E36</f>
        <v>2</v>
      </c>
      <c r="F45" s="46"/>
      <c r="G45" s="81">
        <v>7.0000000000000007E-2</v>
      </c>
      <c r="H45" s="261" t="b">
        <v>1</v>
      </c>
      <c r="I45" s="6" t="b">
        <f t="shared" si="7"/>
        <v>1</v>
      </c>
      <c r="J45" s="137"/>
      <c r="K45" s="137"/>
      <c r="L45" s="137"/>
      <c r="M45" s="137"/>
      <c r="N45" s="137"/>
      <c r="Q45" s="6" t="b">
        <f t="shared" si="3"/>
        <v>0</v>
      </c>
      <c r="R45" s="6" t="b">
        <f t="shared" si="3"/>
        <v>0</v>
      </c>
      <c r="S45" s="6" t="b">
        <f t="shared" si="3"/>
        <v>0</v>
      </c>
      <c r="T45" s="6" t="b">
        <f t="shared" si="3"/>
        <v>0</v>
      </c>
      <c r="U45" s="6" t="b">
        <f t="shared" si="1"/>
        <v>1</v>
      </c>
      <c r="V45" s="6" t="b">
        <f t="shared" si="8"/>
        <v>1</v>
      </c>
      <c r="W45" s="6" t="b">
        <f t="shared" si="9"/>
        <v>1</v>
      </c>
      <c r="X45" s="6" t="b">
        <f t="shared" si="10"/>
        <v>1</v>
      </c>
      <c r="Y45" s="6" t="b">
        <f t="shared" si="11"/>
        <v>1</v>
      </c>
    </row>
    <row r="46" spans="2:25" ht="50.1" customHeight="1" x14ac:dyDescent="0.25">
      <c r="B46" s="13" t="str">
        <f>RegPInd!A37</f>
        <v>7.4.2</v>
      </c>
      <c r="C46" s="19" t="str">
        <f>RegPInd!B37</f>
        <v>Developed a personal improvement plan based on reflection of one’s practice and ongoing professional learning</v>
      </c>
      <c r="D46" s="13" t="str">
        <f>RegPInd!D37</f>
        <v>NCOI</v>
      </c>
      <c r="E46" s="13">
        <f>RegPInd!E37</f>
        <v>2</v>
      </c>
      <c r="F46" s="46"/>
      <c r="G46" s="81">
        <v>7.0000000000000007E-2</v>
      </c>
      <c r="H46" s="261" t="b">
        <v>1</v>
      </c>
      <c r="I46" s="6" t="b">
        <f t="shared" si="7"/>
        <v>1</v>
      </c>
      <c r="J46" s="137"/>
      <c r="K46" s="137"/>
      <c r="L46" s="137"/>
      <c r="M46" s="137"/>
      <c r="N46" s="137"/>
      <c r="Q46" s="6" t="b">
        <f t="shared" si="3"/>
        <v>0</v>
      </c>
      <c r="R46" s="6" t="b">
        <f t="shared" si="3"/>
        <v>0</v>
      </c>
      <c r="S46" s="6" t="b">
        <f t="shared" si="3"/>
        <v>0</v>
      </c>
      <c r="T46" s="6" t="b">
        <f t="shared" si="3"/>
        <v>0</v>
      </c>
      <c r="U46" s="6" t="b">
        <f t="shared" si="1"/>
        <v>1</v>
      </c>
      <c r="V46" s="6" t="b">
        <f t="shared" si="8"/>
        <v>1</v>
      </c>
      <c r="W46" s="6" t="b">
        <f t="shared" si="9"/>
        <v>1</v>
      </c>
      <c r="X46" s="6" t="b">
        <f t="shared" si="10"/>
        <v>1</v>
      </c>
      <c r="Y46" s="6" t="b">
        <f t="shared" si="11"/>
        <v>1</v>
      </c>
    </row>
    <row r="47" spans="2:25" ht="50.1" customHeight="1" x14ac:dyDescent="0.25">
      <c r="B47" s="13" t="str">
        <f>RegPInd!A38</f>
        <v>7.5.2</v>
      </c>
      <c r="C47" s="19" t="str">
        <f>RegPInd!B38</f>
        <v>Set professional development goals based on the Philippine Professional Standards for Teachers</v>
      </c>
      <c r="D47" s="13" t="str">
        <f>RegPInd!D38</f>
        <v>NCOI</v>
      </c>
      <c r="E47" s="13">
        <f>RegPInd!E38</f>
        <v>3</v>
      </c>
      <c r="F47" s="46"/>
      <c r="G47" s="81"/>
      <c r="H47" s="261" t="b">
        <v>0</v>
      </c>
      <c r="I47" s="6" t="b">
        <f t="shared" si="7"/>
        <v>1</v>
      </c>
      <c r="J47" s="137"/>
      <c r="K47" s="137"/>
      <c r="L47" s="137"/>
      <c r="M47" s="137"/>
      <c r="N47" s="137"/>
      <c r="Q47" s="6" t="b">
        <f t="shared" si="3"/>
        <v>0</v>
      </c>
      <c r="R47" s="6" t="b">
        <f t="shared" si="3"/>
        <v>0</v>
      </c>
      <c r="S47" s="6" t="b">
        <f t="shared" si="3"/>
        <v>0</v>
      </c>
      <c r="T47" s="6" t="b">
        <f t="shared" si="3"/>
        <v>0</v>
      </c>
      <c r="U47" s="6" t="b">
        <f t="shared" si="1"/>
        <v>1</v>
      </c>
      <c r="V47" s="6" t="b">
        <f t="shared" si="8"/>
        <v>1</v>
      </c>
      <c r="W47" s="6" t="b">
        <f t="shared" si="9"/>
        <v>1</v>
      </c>
      <c r="X47" s="6" t="b">
        <f t="shared" si="10"/>
        <v>1</v>
      </c>
      <c r="Y47" s="6" t="b">
        <f t="shared" si="11"/>
        <v>1</v>
      </c>
    </row>
    <row r="48" spans="2:25" s="7" customFormat="1" x14ac:dyDescent="0.25">
      <c r="B48" s="347" t="s">
        <v>902</v>
      </c>
      <c r="C48" s="349"/>
      <c r="D48" s="350"/>
      <c r="E48" s="350"/>
      <c r="F48" s="349"/>
      <c r="G48" s="203"/>
      <c r="H48" s="6"/>
      <c r="I48" s="6" t="b">
        <f t="shared" si="7"/>
        <v>1</v>
      </c>
      <c r="J48" s="13"/>
      <c r="K48" s="13"/>
      <c r="L48" s="13"/>
      <c r="M48" s="13"/>
      <c r="N48" s="13"/>
      <c r="Q48" s="6" t="b">
        <f t="shared" si="3"/>
        <v>0</v>
      </c>
      <c r="R48" s="6" t="b">
        <f t="shared" si="3"/>
        <v>0</v>
      </c>
      <c r="S48" s="6" t="b">
        <f t="shared" si="3"/>
        <v>0</v>
      </c>
      <c r="T48" s="6" t="b">
        <f t="shared" si="3"/>
        <v>0</v>
      </c>
      <c r="U48" s="6" t="b">
        <f t="shared" si="1"/>
        <v>1</v>
      </c>
      <c r="V48" s="6" t="b">
        <f t="shared" si="8"/>
        <v>1</v>
      </c>
      <c r="W48" s="6" t="b">
        <f t="shared" si="9"/>
        <v>1</v>
      </c>
      <c r="X48" s="6" t="b">
        <f t="shared" si="10"/>
        <v>1</v>
      </c>
      <c r="Y48" s="6" t="b">
        <f t="shared" si="11"/>
        <v>1</v>
      </c>
    </row>
    <row r="49" spans="2:25" ht="50.1" customHeight="1" x14ac:dyDescent="0.25">
      <c r="B49" s="13">
        <f>RegPInd!A39</f>
        <v>15</v>
      </c>
      <c r="C49" s="18" t="str">
        <f>RegPInd!B39</f>
        <v>Performed various related works/activities that contribute to the teaching learning process</v>
      </c>
      <c r="D49" s="13" t="str">
        <f>RegPInd!D39</f>
        <v>NCOI</v>
      </c>
      <c r="E49" s="13">
        <f>RegPInd!E39</f>
        <v>3</v>
      </c>
      <c r="F49" s="46"/>
      <c r="G49" s="81">
        <v>0.02</v>
      </c>
      <c r="H49" s="6" t="b">
        <v>1</v>
      </c>
      <c r="I49" s="6" t="b">
        <f t="shared" si="7"/>
        <v>1</v>
      </c>
      <c r="J49" s="137"/>
      <c r="K49" s="137"/>
      <c r="L49" s="137"/>
      <c r="M49" s="137"/>
      <c r="N49" s="137"/>
      <c r="Q49" s="6" t="b">
        <f t="shared" si="3"/>
        <v>0</v>
      </c>
      <c r="R49" s="6" t="b">
        <f t="shared" si="3"/>
        <v>0</v>
      </c>
      <c r="S49" s="6" t="b">
        <f t="shared" si="3"/>
        <v>0</v>
      </c>
      <c r="T49" s="6" t="b">
        <f t="shared" si="3"/>
        <v>0</v>
      </c>
      <c r="U49" s="6" t="b">
        <f t="shared" si="1"/>
        <v>1</v>
      </c>
      <c r="V49" s="6" t="b">
        <f t="shared" si="8"/>
        <v>1</v>
      </c>
      <c r="W49" s="6" t="b">
        <f t="shared" si="9"/>
        <v>1</v>
      </c>
      <c r="X49" s="6" t="b">
        <f t="shared" si="10"/>
        <v>1</v>
      </c>
      <c r="Y49" s="6" t="b">
        <f t="shared" si="11"/>
        <v>1</v>
      </c>
    </row>
    <row r="50" spans="2:25" ht="30" x14ac:dyDescent="0.25">
      <c r="F50" s="202" t="s">
        <v>903</v>
      </c>
      <c r="G50" s="82" t="s">
        <v>904</v>
      </c>
      <c r="K50" s="6">
        <f>SUM(K4:K49)</f>
        <v>6</v>
      </c>
      <c r="L50" s="6">
        <f t="shared" ref="L50:N50" si="12">SUM(L4:L49)</f>
        <v>6</v>
      </c>
      <c r="M50" s="6">
        <f t="shared" si="12"/>
        <v>6</v>
      </c>
      <c r="N50" s="6">
        <f t="shared" si="12"/>
        <v>6</v>
      </c>
    </row>
    <row r="51" spans="2:25" x14ac:dyDescent="0.25">
      <c r="F51" s="79">
        <f>COUNTIF(H5:H49,TRUE)</f>
        <v>15</v>
      </c>
      <c r="G51" s="82">
        <f>SUM(G4:G49)</f>
        <v>1.0000000000000004</v>
      </c>
      <c r="I51" s="4" t="b">
        <f>AND(I4:I49,indCount_RP&gt;1,indWeight_RP=1,Q51:V51)</f>
        <v>1</v>
      </c>
      <c r="K51" s="6"/>
      <c r="L51" s="6"/>
      <c r="M51" s="6"/>
      <c r="N51" s="6"/>
      <c r="Q51" s="4" t="b">
        <f>IF(Q3,K50&gt;0,K50=0)</f>
        <v>1</v>
      </c>
      <c r="R51" s="4" t="b">
        <f t="shared" ref="R51:T51" si="13">IF(R3,L50&gt;0,L50=0)</f>
        <v>1</v>
      </c>
      <c r="S51" s="4" t="b">
        <f t="shared" si="13"/>
        <v>1</v>
      </c>
      <c r="T51" s="4" t="b">
        <f t="shared" si="13"/>
        <v>1</v>
      </c>
      <c r="U51" s="4" t="b">
        <f>AND(U4:U49)</f>
        <v>1</v>
      </c>
      <c r="V51" s="4" t="b">
        <f>AND(V4:Y49)</f>
        <v>1</v>
      </c>
    </row>
  </sheetData>
  <sheetProtection algorithmName="SHA-512" hashValue="F5QYPZr5f3vaGh9NHd7aVG8VIx6NPN3eOT8e9pHwkA+nfLpC9OsnW8ppgNd3Ffgj+wWONxZ4wl7KdLDWguht5A==" saltValue="b4boObFQNAatYIBB3V2IAA==" spinCount="100000" sheet="1" objects="1" scenarios="1" selectLockedCells="1"/>
  <mergeCells count="2">
    <mergeCell ref="B1:G1"/>
    <mergeCell ref="B2:G2"/>
  </mergeCells>
  <conditionalFormatting sqref="B5:F49">
    <cfRule type="expression" dxfId="256" priority="13" stopIfTrue="1">
      <formula>AND(NOT(ISBLANK($H5)),$H5)</formula>
    </cfRule>
  </conditionalFormatting>
  <conditionalFormatting sqref="A1:XFD1048576">
    <cfRule type="expression" dxfId="255" priority="14">
      <formula>TRUE</formula>
    </cfRule>
  </conditionalFormatting>
  <conditionalFormatting sqref="G5:G49">
    <cfRule type="expression" dxfId="254" priority="11" stopIfTrue="1">
      <formula>AND(NOT(ISBLANK($H5)),$H5)</formula>
    </cfRule>
  </conditionalFormatting>
  <conditionalFormatting sqref="B4:N49">
    <cfRule type="expression" dxfId="253" priority="10">
      <formula>ISBLANK($H4)</formula>
    </cfRule>
  </conditionalFormatting>
  <conditionalFormatting sqref="G51">
    <cfRule type="cellIs" dxfId="252" priority="7" operator="notEqual">
      <formula>1</formula>
    </cfRule>
  </conditionalFormatting>
  <conditionalFormatting sqref="G4:J49">
    <cfRule type="expression" dxfId="251" priority="9" stopIfTrue="1">
      <formula>AND(NOT($H4),OR(NOT(ISBLANK($G4)),NOT(ISBLANK($J4))))</formula>
    </cfRule>
  </conditionalFormatting>
  <conditionalFormatting sqref="G4:G49">
    <cfRule type="expression" dxfId="250" priority="8">
      <formula>AND(NOT(ISBLANK($H4)),$H4,OR(ISBLANK($G4),$G4=0))</formula>
    </cfRule>
  </conditionalFormatting>
  <conditionalFormatting sqref="J4:J49">
    <cfRule type="expression" dxfId="249" priority="4">
      <formula>AND(D4="COI/NCOI",$H4,OR(ISBLANK($J4),$J4=0))</formula>
    </cfRule>
    <cfRule type="expression" dxfId="248" priority="5" stopIfTrue="1">
      <formula>AND($D4="COI/NCOI",$H4)</formula>
    </cfRule>
  </conditionalFormatting>
  <conditionalFormatting sqref="K4:N49">
    <cfRule type="expression" dxfId="247" priority="1">
      <formula>AND(Q4,NOT(V4))</formula>
    </cfRule>
    <cfRule type="expression" dxfId="246" priority="2" stopIfTrue="1">
      <formula>AND(NOT(V4),NOT(Q4))</formula>
    </cfRule>
    <cfRule type="expression" dxfId="245" priority="3">
      <formula>Q4</formula>
    </cfRule>
  </conditionalFormatting>
  <dataValidations count="3">
    <dataValidation type="decimal" allowBlank="1" showErrorMessage="1" errorTitle="Invalid Input" error="Range is between 0% and 100%." sqref="G5:G49" xr:uid="{518BC0A0-3FFC-4FEF-99DF-6EF7581F0FCB}">
      <formula1>0</formula1>
      <formula2>1</formula2>
    </dataValidation>
    <dataValidation type="list" allowBlank="1" showInputMessage="1" showErrorMessage="1" sqref="J4:J49" xr:uid="{C21745E3-9CCF-E94E-93C9-4F3FFA840A3F}">
      <formula1>IF(AND(H4,D4="COI/NCOI"),admin_coi_ncoi,IF(AND(H4,D4="COI"),admin_coi,IF(AND(H4,D4="NCOI"),admin_ncoi,coi_blank)))</formula1>
    </dataValidation>
    <dataValidation type="whole" allowBlank="1" showInputMessage="1" showErrorMessage="1" sqref="K4:N49" xr:uid="{F7E20185-DD45-E84E-8F39-5FC817C314AF}">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5</xdr:col>
                    <xdr:colOff>161925</xdr:colOff>
                    <xdr:row>4</xdr:row>
                    <xdr:rowOff>200025</xdr:rowOff>
                  </from>
                  <to>
                    <xdr:col>5</xdr:col>
                    <xdr:colOff>447675</xdr:colOff>
                    <xdr:row>4</xdr:row>
                    <xdr:rowOff>457200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5</xdr:col>
                    <xdr:colOff>161925</xdr:colOff>
                    <xdr:row>5</xdr:row>
                    <xdr:rowOff>200025</xdr:rowOff>
                  </from>
                  <to>
                    <xdr:col>5</xdr:col>
                    <xdr:colOff>447675</xdr:colOff>
                    <xdr:row>5</xdr:row>
                    <xdr:rowOff>457200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5</xdr:col>
                    <xdr:colOff>161925</xdr:colOff>
                    <xdr:row>6</xdr:row>
                    <xdr:rowOff>200025</xdr:rowOff>
                  </from>
                  <to>
                    <xdr:col>5</xdr:col>
                    <xdr:colOff>447675</xdr:colOff>
                    <xdr:row>6</xdr:row>
                    <xdr:rowOff>457200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5</xdr:col>
                    <xdr:colOff>161925</xdr:colOff>
                    <xdr:row>7</xdr:row>
                    <xdr:rowOff>200025</xdr:rowOff>
                  </from>
                  <to>
                    <xdr:col>5</xdr:col>
                    <xdr:colOff>447675</xdr:colOff>
                    <xdr:row>7</xdr:row>
                    <xdr:rowOff>457200</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5</xdr:col>
                    <xdr:colOff>161925</xdr:colOff>
                    <xdr:row>8</xdr:row>
                    <xdr:rowOff>200025</xdr:rowOff>
                  </from>
                  <to>
                    <xdr:col>5</xdr:col>
                    <xdr:colOff>447675</xdr:colOff>
                    <xdr:row>8</xdr:row>
                    <xdr:rowOff>457200</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5</xdr:col>
                    <xdr:colOff>161925</xdr:colOff>
                    <xdr:row>9</xdr:row>
                    <xdr:rowOff>200025</xdr:rowOff>
                  </from>
                  <to>
                    <xdr:col>5</xdr:col>
                    <xdr:colOff>447675</xdr:colOff>
                    <xdr:row>9</xdr:row>
                    <xdr:rowOff>457200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5</xdr:col>
                    <xdr:colOff>161925</xdr:colOff>
                    <xdr:row>10</xdr:row>
                    <xdr:rowOff>200025</xdr:rowOff>
                  </from>
                  <to>
                    <xdr:col>5</xdr:col>
                    <xdr:colOff>447675</xdr:colOff>
                    <xdr:row>10</xdr:row>
                    <xdr:rowOff>457200</xdr:rowOff>
                  </to>
                </anchor>
              </controlPr>
            </control>
          </mc:Choice>
        </mc:AlternateContent>
        <mc:AlternateContent xmlns:mc="http://schemas.openxmlformats.org/markup-compatibility/2006">
          <mc:Choice Requires="x14">
            <control shapeId="6153" r:id="rId11" name="Check Box 9">
              <controlPr defaultSize="0" autoFill="0" autoLine="0" autoPict="0">
                <anchor moveWithCells="1">
                  <from>
                    <xdr:col>5</xdr:col>
                    <xdr:colOff>161925</xdr:colOff>
                    <xdr:row>12</xdr:row>
                    <xdr:rowOff>200025</xdr:rowOff>
                  </from>
                  <to>
                    <xdr:col>5</xdr:col>
                    <xdr:colOff>447675</xdr:colOff>
                    <xdr:row>12</xdr:row>
                    <xdr:rowOff>457200</xdr:rowOff>
                  </to>
                </anchor>
              </controlPr>
            </control>
          </mc:Choice>
        </mc:AlternateContent>
        <mc:AlternateContent xmlns:mc="http://schemas.openxmlformats.org/markup-compatibility/2006">
          <mc:Choice Requires="x14">
            <control shapeId="6154" r:id="rId12" name="Check Box 10">
              <controlPr defaultSize="0" autoFill="0" autoLine="0" autoPict="0">
                <anchor moveWithCells="1">
                  <from>
                    <xdr:col>5</xdr:col>
                    <xdr:colOff>161925</xdr:colOff>
                    <xdr:row>13</xdr:row>
                    <xdr:rowOff>200025</xdr:rowOff>
                  </from>
                  <to>
                    <xdr:col>5</xdr:col>
                    <xdr:colOff>447675</xdr:colOff>
                    <xdr:row>13</xdr:row>
                    <xdr:rowOff>457200</xdr:rowOff>
                  </to>
                </anchor>
              </controlPr>
            </control>
          </mc:Choice>
        </mc:AlternateContent>
        <mc:AlternateContent xmlns:mc="http://schemas.openxmlformats.org/markup-compatibility/2006">
          <mc:Choice Requires="x14">
            <control shapeId="6155" r:id="rId13" name="Check Box 11">
              <controlPr defaultSize="0" autoFill="0" autoLine="0" autoPict="0">
                <anchor moveWithCells="1">
                  <from>
                    <xdr:col>5</xdr:col>
                    <xdr:colOff>161925</xdr:colOff>
                    <xdr:row>14</xdr:row>
                    <xdr:rowOff>200025</xdr:rowOff>
                  </from>
                  <to>
                    <xdr:col>5</xdr:col>
                    <xdr:colOff>447675</xdr:colOff>
                    <xdr:row>14</xdr:row>
                    <xdr:rowOff>457200</xdr:rowOff>
                  </to>
                </anchor>
              </controlPr>
            </control>
          </mc:Choice>
        </mc:AlternateContent>
        <mc:AlternateContent xmlns:mc="http://schemas.openxmlformats.org/markup-compatibility/2006">
          <mc:Choice Requires="x14">
            <control shapeId="6156" r:id="rId14" name="Check Box 12">
              <controlPr defaultSize="0" autoFill="0" autoLine="0" autoPict="0">
                <anchor moveWithCells="1">
                  <from>
                    <xdr:col>5</xdr:col>
                    <xdr:colOff>161925</xdr:colOff>
                    <xdr:row>15</xdr:row>
                    <xdr:rowOff>200025</xdr:rowOff>
                  </from>
                  <to>
                    <xdr:col>5</xdr:col>
                    <xdr:colOff>447675</xdr:colOff>
                    <xdr:row>15</xdr:row>
                    <xdr:rowOff>457200</xdr:rowOff>
                  </to>
                </anchor>
              </controlPr>
            </control>
          </mc:Choice>
        </mc:AlternateContent>
        <mc:AlternateContent xmlns:mc="http://schemas.openxmlformats.org/markup-compatibility/2006">
          <mc:Choice Requires="x14">
            <control shapeId="6157" r:id="rId15" name="Check Box 13">
              <controlPr defaultSize="0" autoFill="0" autoLine="0" autoPict="0">
                <anchor moveWithCells="1">
                  <from>
                    <xdr:col>5</xdr:col>
                    <xdr:colOff>161925</xdr:colOff>
                    <xdr:row>16</xdr:row>
                    <xdr:rowOff>200025</xdr:rowOff>
                  </from>
                  <to>
                    <xdr:col>5</xdr:col>
                    <xdr:colOff>447675</xdr:colOff>
                    <xdr:row>16</xdr:row>
                    <xdr:rowOff>457200</xdr:rowOff>
                  </to>
                </anchor>
              </controlPr>
            </control>
          </mc:Choice>
        </mc:AlternateContent>
        <mc:AlternateContent xmlns:mc="http://schemas.openxmlformats.org/markup-compatibility/2006">
          <mc:Choice Requires="x14">
            <control shapeId="6158" r:id="rId16" name="Check Box 14">
              <controlPr defaultSize="0" autoFill="0" autoLine="0" autoPict="0">
                <anchor moveWithCells="1">
                  <from>
                    <xdr:col>5</xdr:col>
                    <xdr:colOff>161925</xdr:colOff>
                    <xdr:row>17</xdr:row>
                    <xdr:rowOff>200025</xdr:rowOff>
                  </from>
                  <to>
                    <xdr:col>5</xdr:col>
                    <xdr:colOff>447675</xdr:colOff>
                    <xdr:row>17</xdr:row>
                    <xdr:rowOff>457200</xdr:rowOff>
                  </to>
                </anchor>
              </controlPr>
            </control>
          </mc:Choice>
        </mc:AlternateContent>
        <mc:AlternateContent xmlns:mc="http://schemas.openxmlformats.org/markup-compatibility/2006">
          <mc:Choice Requires="x14">
            <control shapeId="6160" r:id="rId17" name="Check Box 16">
              <controlPr defaultSize="0" autoFill="0" autoLine="0" autoPict="0">
                <anchor moveWithCells="1">
                  <from>
                    <xdr:col>5</xdr:col>
                    <xdr:colOff>161925</xdr:colOff>
                    <xdr:row>19</xdr:row>
                    <xdr:rowOff>200025</xdr:rowOff>
                  </from>
                  <to>
                    <xdr:col>5</xdr:col>
                    <xdr:colOff>447675</xdr:colOff>
                    <xdr:row>19</xdr:row>
                    <xdr:rowOff>457200</xdr:rowOff>
                  </to>
                </anchor>
              </controlPr>
            </control>
          </mc:Choice>
        </mc:AlternateContent>
        <mc:AlternateContent xmlns:mc="http://schemas.openxmlformats.org/markup-compatibility/2006">
          <mc:Choice Requires="x14">
            <control shapeId="6161" r:id="rId18" name="Check Box 17">
              <controlPr defaultSize="0" autoFill="0" autoLine="0" autoPict="0">
                <anchor moveWithCells="1">
                  <from>
                    <xdr:col>5</xdr:col>
                    <xdr:colOff>161925</xdr:colOff>
                    <xdr:row>20</xdr:row>
                    <xdr:rowOff>200025</xdr:rowOff>
                  </from>
                  <to>
                    <xdr:col>5</xdr:col>
                    <xdr:colOff>447675</xdr:colOff>
                    <xdr:row>20</xdr:row>
                    <xdr:rowOff>457200</xdr:rowOff>
                  </to>
                </anchor>
              </controlPr>
            </control>
          </mc:Choice>
        </mc:AlternateContent>
        <mc:AlternateContent xmlns:mc="http://schemas.openxmlformats.org/markup-compatibility/2006">
          <mc:Choice Requires="x14">
            <control shapeId="6162" r:id="rId19" name="Check Box 18">
              <controlPr defaultSize="0" autoFill="0" autoLine="0" autoPict="0">
                <anchor moveWithCells="1">
                  <from>
                    <xdr:col>5</xdr:col>
                    <xdr:colOff>161925</xdr:colOff>
                    <xdr:row>21</xdr:row>
                    <xdr:rowOff>200025</xdr:rowOff>
                  </from>
                  <to>
                    <xdr:col>5</xdr:col>
                    <xdr:colOff>447675</xdr:colOff>
                    <xdr:row>21</xdr:row>
                    <xdr:rowOff>457200</xdr:rowOff>
                  </to>
                </anchor>
              </controlPr>
            </control>
          </mc:Choice>
        </mc:AlternateContent>
        <mc:AlternateContent xmlns:mc="http://schemas.openxmlformats.org/markup-compatibility/2006">
          <mc:Choice Requires="x14">
            <control shapeId="6163" r:id="rId20" name="Check Box 19">
              <controlPr defaultSize="0" autoFill="0" autoLine="0" autoPict="0">
                <anchor moveWithCells="1">
                  <from>
                    <xdr:col>5</xdr:col>
                    <xdr:colOff>161925</xdr:colOff>
                    <xdr:row>22</xdr:row>
                    <xdr:rowOff>200025</xdr:rowOff>
                  </from>
                  <to>
                    <xdr:col>5</xdr:col>
                    <xdr:colOff>447675</xdr:colOff>
                    <xdr:row>22</xdr:row>
                    <xdr:rowOff>457200</xdr:rowOff>
                  </to>
                </anchor>
              </controlPr>
            </control>
          </mc:Choice>
        </mc:AlternateContent>
        <mc:AlternateContent xmlns:mc="http://schemas.openxmlformats.org/markup-compatibility/2006">
          <mc:Choice Requires="x14">
            <control shapeId="6164" r:id="rId21" name="Check Box 20">
              <controlPr defaultSize="0" autoFill="0" autoLine="0" autoPict="0">
                <anchor moveWithCells="1">
                  <from>
                    <xdr:col>5</xdr:col>
                    <xdr:colOff>161925</xdr:colOff>
                    <xdr:row>23</xdr:row>
                    <xdr:rowOff>200025</xdr:rowOff>
                  </from>
                  <to>
                    <xdr:col>5</xdr:col>
                    <xdr:colOff>447675</xdr:colOff>
                    <xdr:row>23</xdr:row>
                    <xdr:rowOff>457200</xdr:rowOff>
                  </to>
                </anchor>
              </controlPr>
            </control>
          </mc:Choice>
        </mc:AlternateContent>
        <mc:AlternateContent xmlns:mc="http://schemas.openxmlformats.org/markup-compatibility/2006">
          <mc:Choice Requires="x14">
            <control shapeId="6166" r:id="rId22" name="Check Box 22">
              <controlPr defaultSize="0" autoFill="0" autoLine="0" autoPict="0">
                <anchor moveWithCells="1">
                  <from>
                    <xdr:col>5</xdr:col>
                    <xdr:colOff>161925</xdr:colOff>
                    <xdr:row>25</xdr:row>
                    <xdr:rowOff>200025</xdr:rowOff>
                  </from>
                  <to>
                    <xdr:col>5</xdr:col>
                    <xdr:colOff>447675</xdr:colOff>
                    <xdr:row>25</xdr:row>
                    <xdr:rowOff>457200</xdr:rowOff>
                  </to>
                </anchor>
              </controlPr>
            </control>
          </mc:Choice>
        </mc:AlternateContent>
        <mc:AlternateContent xmlns:mc="http://schemas.openxmlformats.org/markup-compatibility/2006">
          <mc:Choice Requires="x14">
            <control shapeId="6167" r:id="rId23" name="Check Box 23">
              <controlPr defaultSize="0" autoFill="0" autoLine="0" autoPict="0">
                <anchor moveWithCells="1">
                  <from>
                    <xdr:col>5</xdr:col>
                    <xdr:colOff>161925</xdr:colOff>
                    <xdr:row>26</xdr:row>
                    <xdr:rowOff>200025</xdr:rowOff>
                  </from>
                  <to>
                    <xdr:col>5</xdr:col>
                    <xdr:colOff>447675</xdr:colOff>
                    <xdr:row>26</xdr:row>
                    <xdr:rowOff>457200</xdr:rowOff>
                  </to>
                </anchor>
              </controlPr>
            </control>
          </mc:Choice>
        </mc:AlternateContent>
        <mc:AlternateContent xmlns:mc="http://schemas.openxmlformats.org/markup-compatibility/2006">
          <mc:Choice Requires="x14">
            <control shapeId="6168" r:id="rId24" name="Check Box 24">
              <controlPr defaultSize="0" autoFill="0" autoLine="0" autoPict="0">
                <anchor moveWithCells="1">
                  <from>
                    <xdr:col>5</xdr:col>
                    <xdr:colOff>161925</xdr:colOff>
                    <xdr:row>27</xdr:row>
                    <xdr:rowOff>200025</xdr:rowOff>
                  </from>
                  <to>
                    <xdr:col>5</xdr:col>
                    <xdr:colOff>447675</xdr:colOff>
                    <xdr:row>27</xdr:row>
                    <xdr:rowOff>457200</xdr:rowOff>
                  </to>
                </anchor>
              </controlPr>
            </control>
          </mc:Choice>
        </mc:AlternateContent>
        <mc:AlternateContent xmlns:mc="http://schemas.openxmlformats.org/markup-compatibility/2006">
          <mc:Choice Requires="x14">
            <control shapeId="6169" r:id="rId25" name="Check Box 25">
              <controlPr defaultSize="0" autoFill="0" autoLine="0" autoPict="0">
                <anchor moveWithCells="1">
                  <from>
                    <xdr:col>5</xdr:col>
                    <xdr:colOff>161925</xdr:colOff>
                    <xdr:row>28</xdr:row>
                    <xdr:rowOff>200025</xdr:rowOff>
                  </from>
                  <to>
                    <xdr:col>5</xdr:col>
                    <xdr:colOff>447675</xdr:colOff>
                    <xdr:row>28</xdr:row>
                    <xdr:rowOff>457200</xdr:rowOff>
                  </to>
                </anchor>
              </controlPr>
            </control>
          </mc:Choice>
        </mc:AlternateContent>
        <mc:AlternateContent xmlns:mc="http://schemas.openxmlformats.org/markup-compatibility/2006">
          <mc:Choice Requires="x14">
            <control shapeId="6170" r:id="rId26" name="Check Box 26">
              <controlPr defaultSize="0" autoFill="0" autoLine="0" autoPict="0">
                <anchor moveWithCells="1">
                  <from>
                    <xdr:col>5</xdr:col>
                    <xdr:colOff>161925</xdr:colOff>
                    <xdr:row>29</xdr:row>
                    <xdr:rowOff>200025</xdr:rowOff>
                  </from>
                  <to>
                    <xdr:col>5</xdr:col>
                    <xdr:colOff>447675</xdr:colOff>
                    <xdr:row>29</xdr:row>
                    <xdr:rowOff>457200</xdr:rowOff>
                  </to>
                </anchor>
              </controlPr>
            </control>
          </mc:Choice>
        </mc:AlternateContent>
        <mc:AlternateContent xmlns:mc="http://schemas.openxmlformats.org/markup-compatibility/2006">
          <mc:Choice Requires="x14">
            <control shapeId="6172" r:id="rId27" name="Check Box 28">
              <controlPr defaultSize="0" autoFill="0" autoLine="0" autoPict="0">
                <anchor moveWithCells="1">
                  <from>
                    <xdr:col>5</xdr:col>
                    <xdr:colOff>161925</xdr:colOff>
                    <xdr:row>31</xdr:row>
                    <xdr:rowOff>200025</xdr:rowOff>
                  </from>
                  <to>
                    <xdr:col>5</xdr:col>
                    <xdr:colOff>447675</xdr:colOff>
                    <xdr:row>31</xdr:row>
                    <xdr:rowOff>457200</xdr:rowOff>
                  </to>
                </anchor>
              </controlPr>
            </control>
          </mc:Choice>
        </mc:AlternateContent>
        <mc:AlternateContent xmlns:mc="http://schemas.openxmlformats.org/markup-compatibility/2006">
          <mc:Choice Requires="x14">
            <control shapeId="6173" r:id="rId28" name="Check Box 29">
              <controlPr defaultSize="0" autoFill="0" autoLine="0" autoPict="0">
                <anchor moveWithCells="1">
                  <from>
                    <xdr:col>5</xdr:col>
                    <xdr:colOff>161925</xdr:colOff>
                    <xdr:row>32</xdr:row>
                    <xdr:rowOff>200025</xdr:rowOff>
                  </from>
                  <to>
                    <xdr:col>5</xdr:col>
                    <xdr:colOff>447675</xdr:colOff>
                    <xdr:row>32</xdr:row>
                    <xdr:rowOff>457200</xdr:rowOff>
                  </to>
                </anchor>
              </controlPr>
            </control>
          </mc:Choice>
        </mc:AlternateContent>
        <mc:AlternateContent xmlns:mc="http://schemas.openxmlformats.org/markup-compatibility/2006">
          <mc:Choice Requires="x14">
            <control shapeId="6174" r:id="rId29" name="Check Box 30">
              <controlPr defaultSize="0" autoFill="0" autoLine="0" autoPict="0">
                <anchor moveWithCells="1">
                  <from>
                    <xdr:col>5</xdr:col>
                    <xdr:colOff>161925</xdr:colOff>
                    <xdr:row>33</xdr:row>
                    <xdr:rowOff>200025</xdr:rowOff>
                  </from>
                  <to>
                    <xdr:col>5</xdr:col>
                    <xdr:colOff>447675</xdr:colOff>
                    <xdr:row>33</xdr:row>
                    <xdr:rowOff>457200</xdr:rowOff>
                  </to>
                </anchor>
              </controlPr>
            </control>
          </mc:Choice>
        </mc:AlternateContent>
        <mc:AlternateContent xmlns:mc="http://schemas.openxmlformats.org/markup-compatibility/2006">
          <mc:Choice Requires="x14">
            <control shapeId="6175" r:id="rId30" name="Check Box 31">
              <controlPr defaultSize="0" autoFill="0" autoLine="0" autoPict="0">
                <anchor moveWithCells="1">
                  <from>
                    <xdr:col>5</xdr:col>
                    <xdr:colOff>161925</xdr:colOff>
                    <xdr:row>34</xdr:row>
                    <xdr:rowOff>200025</xdr:rowOff>
                  </from>
                  <to>
                    <xdr:col>5</xdr:col>
                    <xdr:colOff>447675</xdr:colOff>
                    <xdr:row>34</xdr:row>
                    <xdr:rowOff>457200</xdr:rowOff>
                  </to>
                </anchor>
              </controlPr>
            </control>
          </mc:Choice>
        </mc:AlternateContent>
        <mc:AlternateContent xmlns:mc="http://schemas.openxmlformats.org/markup-compatibility/2006">
          <mc:Choice Requires="x14">
            <control shapeId="6176" r:id="rId31" name="Check Box 32">
              <controlPr defaultSize="0" autoFill="0" autoLine="0" autoPict="0">
                <anchor moveWithCells="1">
                  <from>
                    <xdr:col>5</xdr:col>
                    <xdr:colOff>161925</xdr:colOff>
                    <xdr:row>35</xdr:row>
                    <xdr:rowOff>200025</xdr:rowOff>
                  </from>
                  <to>
                    <xdr:col>5</xdr:col>
                    <xdr:colOff>447675</xdr:colOff>
                    <xdr:row>35</xdr:row>
                    <xdr:rowOff>457200</xdr:rowOff>
                  </to>
                </anchor>
              </controlPr>
            </control>
          </mc:Choice>
        </mc:AlternateContent>
        <mc:AlternateContent xmlns:mc="http://schemas.openxmlformats.org/markup-compatibility/2006">
          <mc:Choice Requires="x14">
            <control shapeId="6178" r:id="rId32" name="Check Box 34">
              <controlPr defaultSize="0" autoFill="0" autoLine="0" autoPict="0">
                <anchor moveWithCells="1">
                  <from>
                    <xdr:col>5</xdr:col>
                    <xdr:colOff>161925</xdr:colOff>
                    <xdr:row>37</xdr:row>
                    <xdr:rowOff>200025</xdr:rowOff>
                  </from>
                  <to>
                    <xdr:col>5</xdr:col>
                    <xdr:colOff>447675</xdr:colOff>
                    <xdr:row>37</xdr:row>
                    <xdr:rowOff>457200</xdr:rowOff>
                  </to>
                </anchor>
              </controlPr>
            </control>
          </mc:Choice>
        </mc:AlternateContent>
        <mc:AlternateContent xmlns:mc="http://schemas.openxmlformats.org/markup-compatibility/2006">
          <mc:Choice Requires="x14">
            <control shapeId="6179" r:id="rId33" name="Check Box 35">
              <controlPr defaultSize="0" autoFill="0" autoLine="0" autoPict="0">
                <anchor moveWithCells="1">
                  <from>
                    <xdr:col>5</xdr:col>
                    <xdr:colOff>161925</xdr:colOff>
                    <xdr:row>38</xdr:row>
                    <xdr:rowOff>200025</xdr:rowOff>
                  </from>
                  <to>
                    <xdr:col>5</xdr:col>
                    <xdr:colOff>447675</xdr:colOff>
                    <xdr:row>38</xdr:row>
                    <xdr:rowOff>457200</xdr:rowOff>
                  </to>
                </anchor>
              </controlPr>
            </control>
          </mc:Choice>
        </mc:AlternateContent>
        <mc:AlternateContent xmlns:mc="http://schemas.openxmlformats.org/markup-compatibility/2006">
          <mc:Choice Requires="x14">
            <control shapeId="6180" r:id="rId34" name="Check Box 36">
              <controlPr defaultSize="0" autoFill="0" autoLine="0" autoPict="0">
                <anchor moveWithCells="1">
                  <from>
                    <xdr:col>5</xdr:col>
                    <xdr:colOff>161925</xdr:colOff>
                    <xdr:row>39</xdr:row>
                    <xdr:rowOff>200025</xdr:rowOff>
                  </from>
                  <to>
                    <xdr:col>5</xdr:col>
                    <xdr:colOff>447675</xdr:colOff>
                    <xdr:row>39</xdr:row>
                    <xdr:rowOff>457200</xdr:rowOff>
                  </to>
                </anchor>
              </controlPr>
            </control>
          </mc:Choice>
        </mc:AlternateContent>
        <mc:AlternateContent xmlns:mc="http://schemas.openxmlformats.org/markup-compatibility/2006">
          <mc:Choice Requires="x14">
            <control shapeId="6181" r:id="rId35" name="Check Box 37">
              <controlPr defaultSize="0" autoFill="0" autoLine="0" autoPict="0">
                <anchor moveWithCells="1">
                  <from>
                    <xdr:col>5</xdr:col>
                    <xdr:colOff>161925</xdr:colOff>
                    <xdr:row>40</xdr:row>
                    <xdr:rowOff>200025</xdr:rowOff>
                  </from>
                  <to>
                    <xdr:col>5</xdr:col>
                    <xdr:colOff>447675</xdr:colOff>
                    <xdr:row>40</xdr:row>
                    <xdr:rowOff>457200</xdr:rowOff>
                  </to>
                </anchor>
              </controlPr>
            </control>
          </mc:Choice>
        </mc:AlternateContent>
        <mc:AlternateContent xmlns:mc="http://schemas.openxmlformats.org/markup-compatibility/2006">
          <mc:Choice Requires="x14">
            <control shapeId="6183" r:id="rId36" name="Check Box 39">
              <controlPr defaultSize="0" autoFill="0" autoLine="0" autoPict="0">
                <anchor moveWithCells="1">
                  <from>
                    <xdr:col>5</xdr:col>
                    <xdr:colOff>161925</xdr:colOff>
                    <xdr:row>42</xdr:row>
                    <xdr:rowOff>200025</xdr:rowOff>
                  </from>
                  <to>
                    <xdr:col>5</xdr:col>
                    <xdr:colOff>447675</xdr:colOff>
                    <xdr:row>42</xdr:row>
                    <xdr:rowOff>457200</xdr:rowOff>
                  </to>
                </anchor>
              </controlPr>
            </control>
          </mc:Choice>
        </mc:AlternateContent>
        <mc:AlternateContent xmlns:mc="http://schemas.openxmlformats.org/markup-compatibility/2006">
          <mc:Choice Requires="x14">
            <control shapeId="6184" r:id="rId37" name="Check Box 40">
              <controlPr defaultSize="0" autoFill="0" autoLine="0" autoPict="0">
                <anchor moveWithCells="1">
                  <from>
                    <xdr:col>5</xdr:col>
                    <xdr:colOff>161925</xdr:colOff>
                    <xdr:row>43</xdr:row>
                    <xdr:rowOff>200025</xdr:rowOff>
                  </from>
                  <to>
                    <xdr:col>5</xdr:col>
                    <xdr:colOff>447675</xdr:colOff>
                    <xdr:row>43</xdr:row>
                    <xdr:rowOff>457200</xdr:rowOff>
                  </to>
                </anchor>
              </controlPr>
            </control>
          </mc:Choice>
        </mc:AlternateContent>
        <mc:AlternateContent xmlns:mc="http://schemas.openxmlformats.org/markup-compatibility/2006">
          <mc:Choice Requires="x14">
            <control shapeId="6185" r:id="rId38" name="Check Box 41">
              <controlPr defaultSize="0" autoFill="0" autoLine="0" autoPict="0">
                <anchor moveWithCells="1">
                  <from>
                    <xdr:col>5</xdr:col>
                    <xdr:colOff>161925</xdr:colOff>
                    <xdr:row>44</xdr:row>
                    <xdr:rowOff>200025</xdr:rowOff>
                  </from>
                  <to>
                    <xdr:col>5</xdr:col>
                    <xdr:colOff>447675</xdr:colOff>
                    <xdr:row>44</xdr:row>
                    <xdr:rowOff>457200</xdr:rowOff>
                  </to>
                </anchor>
              </controlPr>
            </control>
          </mc:Choice>
        </mc:AlternateContent>
        <mc:AlternateContent xmlns:mc="http://schemas.openxmlformats.org/markup-compatibility/2006">
          <mc:Choice Requires="x14">
            <control shapeId="6186" r:id="rId39" name="Check Box 42">
              <controlPr defaultSize="0" autoFill="0" autoLine="0" autoPict="0">
                <anchor moveWithCells="1">
                  <from>
                    <xdr:col>5</xdr:col>
                    <xdr:colOff>161925</xdr:colOff>
                    <xdr:row>45</xdr:row>
                    <xdr:rowOff>200025</xdr:rowOff>
                  </from>
                  <to>
                    <xdr:col>5</xdr:col>
                    <xdr:colOff>447675</xdr:colOff>
                    <xdr:row>45</xdr:row>
                    <xdr:rowOff>457200</xdr:rowOff>
                  </to>
                </anchor>
              </controlPr>
            </control>
          </mc:Choice>
        </mc:AlternateContent>
        <mc:AlternateContent xmlns:mc="http://schemas.openxmlformats.org/markup-compatibility/2006">
          <mc:Choice Requires="x14">
            <control shapeId="6187" r:id="rId40" name="Check Box 43">
              <controlPr defaultSize="0" autoFill="0" autoLine="0" autoPict="0">
                <anchor moveWithCells="1">
                  <from>
                    <xdr:col>5</xdr:col>
                    <xdr:colOff>161925</xdr:colOff>
                    <xdr:row>46</xdr:row>
                    <xdr:rowOff>200025</xdr:rowOff>
                  </from>
                  <to>
                    <xdr:col>5</xdr:col>
                    <xdr:colOff>447675</xdr:colOff>
                    <xdr:row>46</xdr:row>
                    <xdr:rowOff>457200</xdr:rowOff>
                  </to>
                </anchor>
              </controlPr>
            </control>
          </mc:Choice>
        </mc:AlternateContent>
        <mc:AlternateContent xmlns:mc="http://schemas.openxmlformats.org/markup-compatibility/2006">
          <mc:Choice Requires="x14">
            <control shapeId="6188" r:id="rId41" name="Button 44">
              <controlPr defaultSize="0" print="0" autoFill="0" autoPict="0" macro="[0]!RP_Sheet.RPNext">
                <anchor moveWithCells="1" sizeWithCells="1">
                  <from>
                    <xdr:col>2</xdr:col>
                    <xdr:colOff>4152900</xdr:colOff>
                    <xdr:row>51</xdr:row>
                    <xdr:rowOff>76200</xdr:rowOff>
                  </from>
                  <to>
                    <xdr:col>3</xdr:col>
                    <xdr:colOff>581025</xdr:colOff>
                    <xdr:row>53</xdr:row>
                    <xdr:rowOff>161925</xdr:rowOff>
                  </to>
                </anchor>
              </controlPr>
            </control>
          </mc:Choice>
        </mc:AlternateContent>
        <mc:AlternateContent xmlns:mc="http://schemas.openxmlformats.org/markup-compatibility/2006">
          <mc:Choice Requires="x14">
            <control shapeId="6189" r:id="rId42" name="Button 45">
              <controlPr defaultSize="0" print="0" autoFill="0" autoPict="0" macro="[0]!RP_Sheet.RPBack">
                <anchor moveWithCells="1" sizeWithCells="1">
                  <from>
                    <xdr:col>2</xdr:col>
                    <xdr:colOff>962025</xdr:colOff>
                    <xdr:row>51</xdr:row>
                    <xdr:rowOff>85725</xdr:rowOff>
                  </from>
                  <to>
                    <xdr:col>2</xdr:col>
                    <xdr:colOff>2143125</xdr:colOff>
                    <xdr:row>53</xdr:row>
                    <xdr:rowOff>161925</xdr:rowOff>
                  </to>
                </anchor>
              </controlPr>
            </control>
          </mc:Choice>
        </mc:AlternateContent>
        <mc:AlternateContent xmlns:mc="http://schemas.openxmlformats.org/markup-compatibility/2006">
          <mc:Choice Requires="x14">
            <control shapeId="6190" r:id="rId43" name="Check Box 46">
              <controlPr defaultSize="0" autoFill="0" autoLine="0" autoPict="0">
                <anchor moveWithCells="1">
                  <from>
                    <xdr:col>5</xdr:col>
                    <xdr:colOff>161925</xdr:colOff>
                    <xdr:row>48</xdr:row>
                    <xdr:rowOff>200025</xdr:rowOff>
                  </from>
                  <to>
                    <xdr:col>5</xdr:col>
                    <xdr:colOff>447675</xdr:colOff>
                    <xdr:row>48</xdr:row>
                    <xdr:rowOff>457200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6" operator="notBetween" id="{1E89B27A-A9E8-4655-97EC-3D4F4532E947}">
            <xm:f>1</xm:f>
            <xm:f>COUNT(RegPInd!$A$2:$A$39)</xm:f>
            <x14:dxf>
              <font>
                <b/>
                <i val="0"/>
                <color rgb="FFFF0000"/>
              </font>
            </x14:dxf>
          </x14:cfRule>
          <xm:sqref>F51</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D5040-43D8-0048-93B4-CA1C0D7DB2C2}">
  <sheetPr codeName="RHP_Sheet"/>
  <dimension ref="B1:Y51"/>
  <sheetViews>
    <sheetView topLeftCell="A40" zoomScale="140" zoomScaleNormal="140" workbookViewId="0">
      <selection activeCell="G5" sqref="G5"/>
    </sheetView>
  </sheetViews>
  <sheetFormatPr defaultColWidth="8.85546875" defaultRowHeight="15" x14ac:dyDescent="0.25"/>
  <cols>
    <col min="1" max="1" width="8.85546875" style="4"/>
    <col min="2" max="2" width="12.140625" style="6" customWidth="1"/>
    <col min="3" max="3" width="62.28515625" style="4" customWidth="1"/>
    <col min="4" max="4" width="9.85546875" style="6" customWidth="1"/>
    <col min="5" max="5" width="5.140625" style="6" hidden="1" customWidth="1"/>
    <col min="6" max="6" width="8" style="4" customWidth="1"/>
    <col min="7" max="7" width="8.85546875" style="83"/>
    <col min="8" max="8" width="8.85546875" style="6" hidden="1" customWidth="1"/>
    <col min="9" max="9" width="8.85546875" style="5" hidden="1" customWidth="1"/>
    <col min="10" max="10" width="8.85546875" style="4" customWidth="1"/>
    <col min="11" max="16" width="8.85546875" style="4"/>
    <col min="17" max="25" width="0" style="4" hidden="1" customWidth="1"/>
    <col min="26" max="16384" width="8.85546875" style="4"/>
  </cols>
  <sheetData>
    <row r="1" spans="2:25" x14ac:dyDescent="0.25">
      <c r="B1" s="503" t="s">
        <v>905</v>
      </c>
      <c r="C1" s="503"/>
      <c r="D1" s="503"/>
      <c r="E1" s="503"/>
      <c r="F1" s="503"/>
      <c r="G1" s="503"/>
    </row>
    <row r="2" spans="2:25" x14ac:dyDescent="0.25">
      <c r="B2" s="502" t="str">
        <f>meta!B4</f>
        <v>SY 2023-2024</v>
      </c>
      <c r="C2" s="502"/>
      <c r="D2" s="502"/>
      <c r="E2" s="502"/>
      <c r="F2" s="502"/>
      <c r="G2" s="502"/>
      <c r="O2" s="325" t="s">
        <v>879</v>
      </c>
      <c r="Q2" s="11">
        <v>1</v>
      </c>
      <c r="R2" s="11">
        <v>2</v>
      </c>
      <c r="S2" s="11">
        <v>3</v>
      </c>
      <c r="T2" s="11">
        <v>4</v>
      </c>
      <c r="U2" s="6" t="s">
        <v>881</v>
      </c>
      <c r="V2" s="11">
        <v>1</v>
      </c>
      <c r="W2" s="11">
        <v>2</v>
      </c>
      <c r="X2" s="11">
        <v>3</v>
      </c>
      <c r="Y2" s="11">
        <v>4</v>
      </c>
    </row>
    <row r="3" spans="2:25" s="1" customFormat="1" ht="60" x14ac:dyDescent="0.25">
      <c r="B3" s="12" t="s">
        <v>882</v>
      </c>
      <c r="C3" s="12" t="s">
        <v>883</v>
      </c>
      <c r="D3" s="12" t="s">
        <v>884</v>
      </c>
      <c r="E3" s="12" t="s">
        <v>885</v>
      </c>
      <c r="F3" s="12" t="s">
        <v>886</v>
      </c>
      <c r="G3" s="80" t="s">
        <v>887</v>
      </c>
      <c r="H3" s="1" t="s">
        <v>888</v>
      </c>
      <c r="I3" s="1" t="s">
        <v>881</v>
      </c>
      <c r="J3" s="12" t="s">
        <v>889</v>
      </c>
      <c r="K3" s="12" t="s">
        <v>890</v>
      </c>
      <c r="L3" s="12" t="s">
        <v>891</v>
      </c>
      <c r="M3" s="12" t="s">
        <v>892</v>
      </c>
      <c r="N3" s="12" t="s">
        <v>893</v>
      </c>
      <c r="O3" s="316" t="s">
        <v>894</v>
      </c>
      <c r="Q3" s="1" t="b">
        <f>required_cot&gt;=Q2</f>
        <v>1</v>
      </c>
      <c r="R3" s="1" t="b">
        <f>required_cot&gt;=R2</f>
        <v>1</v>
      </c>
      <c r="S3" s="1" t="b">
        <f>required_cot&gt;=S2</f>
        <v>1</v>
      </c>
      <c r="T3" s="1" t="b">
        <f>required_cot&gt;=T2</f>
        <v>1</v>
      </c>
      <c r="V3" s="1" t="b">
        <f>required_cot&gt;=V2</f>
        <v>1</v>
      </c>
      <c r="W3" s="1" t="b">
        <f>required_cot&gt;=W2</f>
        <v>1</v>
      </c>
      <c r="X3" s="1" t="b">
        <f>required_cot&gt;=X2</f>
        <v>1</v>
      </c>
      <c r="Y3" s="1" t="b">
        <f>required_cot&gt;=Y2</f>
        <v>1</v>
      </c>
    </row>
    <row r="4" spans="2:25" s="7" customFormat="1" x14ac:dyDescent="0.25">
      <c r="B4" s="345" t="s">
        <v>895</v>
      </c>
      <c r="C4" s="345"/>
      <c r="D4" s="345"/>
      <c r="E4" s="345"/>
      <c r="F4" s="346"/>
      <c r="G4" s="315"/>
      <c r="H4" s="6"/>
      <c r="I4" s="6" t="b">
        <f>OR(AND(H4,NOT(ISBLANK(G4)),OR(AND(D4="COI/NCOI",NOT(J4="")),AND(NOT(D4="COI/NCOI"),OR(D4=J4,J4="")))),AND(NOT(H4),ISBLANK(G4),ISBLANK(J4)))</f>
        <v>1</v>
      </c>
      <c r="J4" s="13"/>
      <c r="K4" s="13"/>
      <c r="L4" s="13"/>
      <c r="M4" s="13"/>
      <c r="N4" s="13"/>
      <c r="Q4" s="6" t="b">
        <f>AND(IF($H4,IF($D4="COI",TRUE,IF($D4="COI/NCOI",IF(OR($J4="COI",$J4="COI/NCOI"),TRUE,FALSE),FALSE)),FALSE),Q$3)</f>
        <v>0</v>
      </c>
      <c r="R4" s="6" t="b">
        <f t="shared" ref="R4:T19" si="0">AND(IF($H4,IF($D4="COI",TRUE,IF($D4="COI/NCOI",IF(OR($J4="COI",$J4="COI/NCOI"),TRUE,FALSE),FALSE)),FALSE),R$3)</f>
        <v>0</v>
      </c>
      <c r="S4" s="6" t="b">
        <f t="shared" si="0"/>
        <v>0</v>
      </c>
      <c r="T4" s="6" t="b">
        <f t="shared" si="0"/>
        <v>0</v>
      </c>
      <c r="U4" s="6" t="b">
        <f t="shared" ref="U4:U49" si="1">IF(AND($H4,OR($D4="COI",$J4="COI", $J4="COI/NCOI")),AND(SUM($K4:$N4)&gt;0,SUM($K4:$N4)&lt;=required_cot),SUM($K4:$N4)=0)</f>
        <v>1</v>
      </c>
      <c r="V4" s="6" t="b">
        <f>IF(Q4,IF(NOT(ISBLANK(K4)),TRUE,FALSE),IF(ISBLANK(K4),TRUE,FALSE))</f>
        <v>1</v>
      </c>
      <c r="W4" s="6" t="b">
        <f t="shared" ref="W4:Y19" si="2">IF(R4,IF(NOT(ISBLANK(L4)),TRUE,FALSE),IF(ISBLANK(L4),TRUE,FALSE))</f>
        <v>1</v>
      </c>
      <c r="X4" s="6" t="b">
        <f t="shared" si="2"/>
        <v>1</v>
      </c>
      <c r="Y4" s="6" t="b">
        <f t="shared" si="2"/>
        <v>1</v>
      </c>
    </row>
    <row r="5" spans="2:25" ht="50.1" customHeight="1" x14ac:dyDescent="0.25">
      <c r="B5" s="13" t="str">
        <f>RegHPInd!A2</f>
        <v>1.1.3</v>
      </c>
      <c r="C5" s="18" t="str">
        <f>RegHPInd!B2</f>
        <v>Modelled effective applications of content knowledge within and across curriculum teaching areas</v>
      </c>
      <c r="D5" s="13" t="str">
        <f>RegHPInd!D2</f>
        <v>COI</v>
      </c>
      <c r="E5" s="13">
        <f>RegHPInd!E2</f>
        <v>3</v>
      </c>
      <c r="F5" s="46"/>
      <c r="G5" s="81">
        <v>7.0000000000000007E-2</v>
      </c>
      <c r="H5" s="261" t="b">
        <v>1</v>
      </c>
      <c r="I5" s="6" t="b">
        <f t="shared" ref="I5:I49" si="3">OR(AND(H5,NOT(ISBLANK(G5)),OR(AND(D5="COI/NCOI",NOT(J5="")),AND(NOT(D5="COI/NCOI"),OR(D5=J5,J5="")))),AND(NOT(H5),ISBLANK(G5),ISBLANK(J5)))</f>
        <v>1</v>
      </c>
      <c r="J5" s="137"/>
      <c r="K5" s="137">
        <v>1</v>
      </c>
      <c r="L5" s="137">
        <v>1</v>
      </c>
      <c r="M5" s="137">
        <v>1</v>
      </c>
      <c r="N5" s="137">
        <v>1</v>
      </c>
      <c r="Q5" s="6" t="b">
        <f t="shared" ref="Q5:T49" si="4">AND(IF($H5,IF($D5="COI",TRUE,IF($D5="COI/NCOI",IF(OR($J5="COI",$J5="COI/NCOI"),TRUE,FALSE),FALSE)),FALSE),Q$3)</f>
        <v>1</v>
      </c>
      <c r="R5" s="6" t="b">
        <f t="shared" si="0"/>
        <v>1</v>
      </c>
      <c r="S5" s="6" t="b">
        <f t="shared" si="0"/>
        <v>1</v>
      </c>
      <c r="T5" s="6" t="b">
        <f t="shared" si="0"/>
        <v>1</v>
      </c>
      <c r="U5" s="6" t="b">
        <f t="shared" si="1"/>
        <v>1</v>
      </c>
      <c r="V5" s="6" t="b">
        <f>IF(Q5,IF(NOT(ISBLANK(K5)),TRUE,FALSE),IF(ISBLANK(K5),TRUE,FALSE))</f>
        <v>1</v>
      </c>
      <c r="W5" s="6" t="b">
        <f t="shared" si="2"/>
        <v>1</v>
      </c>
      <c r="X5" s="6" t="b">
        <f t="shared" si="2"/>
        <v>1</v>
      </c>
      <c r="Y5" s="6" t="b">
        <f t="shared" si="2"/>
        <v>1</v>
      </c>
    </row>
    <row r="6" spans="2:25" ht="50.1" customHeight="1" x14ac:dyDescent="0.25">
      <c r="B6" s="13" t="str">
        <f>RegHPInd!A3</f>
        <v>1.2.3</v>
      </c>
      <c r="C6" s="18" t="str">
        <f>RegHPInd!B3</f>
        <v>Collaborated with colleagues in the conduct and   application of research to enrich knowledge of content and pedagogy</v>
      </c>
      <c r="D6" s="13" t="str">
        <f>RegHPInd!D3</f>
        <v>NCOI</v>
      </c>
      <c r="E6" s="13">
        <f>RegHPInd!E3</f>
        <v>1</v>
      </c>
      <c r="F6" s="46"/>
      <c r="G6" s="81"/>
      <c r="H6" s="261" t="b">
        <v>0</v>
      </c>
      <c r="I6" s="6" t="b">
        <f t="shared" si="3"/>
        <v>1</v>
      </c>
      <c r="J6" s="137"/>
      <c r="K6" s="137"/>
      <c r="L6" s="137"/>
      <c r="M6" s="137"/>
      <c r="N6" s="137"/>
      <c r="Q6" s="6" t="b">
        <f t="shared" si="4"/>
        <v>0</v>
      </c>
      <c r="R6" s="6" t="b">
        <f t="shared" si="0"/>
        <v>0</v>
      </c>
      <c r="S6" s="6" t="b">
        <f t="shared" si="0"/>
        <v>0</v>
      </c>
      <c r="T6" s="6" t="b">
        <f t="shared" si="0"/>
        <v>0</v>
      </c>
      <c r="U6" s="6" t="b">
        <f t="shared" si="1"/>
        <v>1</v>
      </c>
      <c r="V6" s="6" t="b">
        <f t="shared" ref="V6:Y49" si="5">IF(Q6,IF(NOT(ISBLANK(K6)),TRUE,FALSE),IF(ISBLANK(K6),TRUE,FALSE))</f>
        <v>1</v>
      </c>
      <c r="W6" s="6" t="b">
        <f t="shared" si="2"/>
        <v>1</v>
      </c>
      <c r="X6" s="6" t="b">
        <f t="shared" si="2"/>
        <v>1</v>
      </c>
      <c r="Y6" s="6" t="b">
        <f t="shared" si="2"/>
        <v>1</v>
      </c>
    </row>
    <row r="7" spans="2:25" ht="50.1" customHeight="1" x14ac:dyDescent="0.25">
      <c r="B7" s="13" t="str">
        <f>RegHPInd!A4</f>
        <v>1.3.3</v>
      </c>
      <c r="C7" s="18" t="str">
        <f>RegHPInd!B4</f>
        <v>Promoted effective strategies in the positive use of ICT to facilitate the teaching and learning process</v>
      </c>
      <c r="D7" s="13" t="str">
        <f>RegHPInd!D4</f>
        <v>NCOI</v>
      </c>
      <c r="E7" s="13">
        <f>RegHPInd!E4</f>
        <v>2</v>
      </c>
      <c r="F7" s="46"/>
      <c r="G7" s="81"/>
      <c r="H7" s="261" t="b">
        <v>0</v>
      </c>
      <c r="I7" s="6" t="b">
        <f t="shared" si="3"/>
        <v>1</v>
      </c>
      <c r="J7" s="137"/>
      <c r="K7" s="137"/>
      <c r="L7" s="137"/>
      <c r="M7" s="137"/>
      <c r="N7" s="137"/>
      <c r="Q7" s="6" t="b">
        <f t="shared" si="4"/>
        <v>0</v>
      </c>
      <c r="R7" s="6" t="b">
        <f t="shared" si="0"/>
        <v>0</v>
      </c>
      <c r="S7" s="6" t="b">
        <f t="shared" si="0"/>
        <v>0</v>
      </c>
      <c r="T7" s="6" t="b">
        <f t="shared" si="0"/>
        <v>0</v>
      </c>
      <c r="U7" s="6" t="b">
        <f t="shared" si="1"/>
        <v>1</v>
      </c>
      <c r="V7" s="6" t="b">
        <f t="shared" si="5"/>
        <v>1</v>
      </c>
      <c r="W7" s="6" t="b">
        <f t="shared" si="2"/>
        <v>1</v>
      </c>
      <c r="X7" s="6" t="b">
        <f t="shared" si="2"/>
        <v>1</v>
      </c>
      <c r="Y7" s="6" t="b">
        <f t="shared" si="2"/>
        <v>1</v>
      </c>
    </row>
    <row r="8" spans="2:25" ht="50.1" customHeight="1" x14ac:dyDescent="0.25">
      <c r="B8" s="13" t="str">
        <f>RegHPInd!A5</f>
        <v>1.4.3</v>
      </c>
      <c r="C8" s="18" t="str">
        <f>RegHPInd!B5</f>
        <v>Evaluated with colleagues the effectiveness of teaching strategies that promote learner achievement in literacy and numeracy</v>
      </c>
      <c r="D8" s="13" t="str">
        <f>RegHPInd!D5</f>
        <v>NCOI</v>
      </c>
      <c r="E8" s="13">
        <f>RegHPInd!E5</f>
        <v>3</v>
      </c>
      <c r="F8" s="46"/>
      <c r="G8" s="81">
        <v>7.0000000000000007E-2</v>
      </c>
      <c r="H8" s="261" t="b">
        <v>1</v>
      </c>
      <c r="I8" s="6" t="b">
        <f t="shared" si="3"/>
        <v>1</v>
      </c>
      <c r="J8" s="137"/>
      <c r="K8" s="137"/>
      <c r="L8" s="137"/>
      <c r="M8" s="137"/>
      <c r="N8" s="137"/>
      <c r="Q8" s="6" t="b">
        <f t="shared" si="4"/>
        <v>0</v>
      </c>
      <c r="R8" s="6" t="b">
        <f t="shared" si="0"/>
        <v>0</v>
      </c>
      <c r="S8" s="6" t="b">
        <f t="shared" si="0"/>
        <v>0</v>
      </c>
      <c r="T8" s="6" t="b">
        <f t="shared" si="0"/>
        <v>0</v>
      </c>
      <c r="U8" s="6" t="b">
        <f t="shared" si="1"/>
        <v>1</v>
      </c>
      <c r="V8" s="6" t="b">
        <f t="shared" si="5"/>
        <v>1</v>
      </c>
      <c r="W8" s="6" t="b">
        <f t="shared" si="2"/>
        <v>1</v>
      </c>
      <c r="X8" s="6" t="b">
        <f t="shared" si="2"/>
        <v>1</v>
      </c>
      <c r="Y8" s="6" t="b">
        <f t="shared" si="2"/>
        <v>1</v>
      </c>
    </row>
    <row r="9" spans="2:25" ht="50.1" customHeight="1" x14ac:dyDescent="0.25">
      <c r="B9" s="13" t="str">
        <f>RegHPInd!A6</f>
        <v>1.5.3</v>
      </c>
      <c r="C9" s="18" t="str">
        <f>RegHPInd!B6</f>
        <v>Developed and applied effective teaching strategies to promote critical and creative thinking, as well as other higher-order thinking skills</v>
      </c>
      <c r="D9" s="13" t="str">
        <f>RegHPInd!D6</f>
        <v>COI</v>
      </c>
      <c r="E9" s="13">
        <f>RegHPInd!E6</f>
        <v>2</v>
      </c>
      <c r="F9" s="46"/>
      <c r="G9" s="81">
        <v>7.0000000000000007E-2</v>
      </c>
      <c r="H9" s="261" t="b">
        <v>1</v>
      </c>
      <c r="I9" s="6" t="b">
        <f t="shared" si="3"/>
        <v>1</v>
      </c>
      <c r="J9" s="137"/>
      <c r="K9" s="137">
        <v>1</v>
      </c>
      <c r="L9" s="137">
        <v>1</v>
      </c>
      <c r="M9" s="137">
        <v>1</v>
      </c>
      <c r="N9" s="137">
        <v>1</v>
      </c>
      <c r="Q9" s="6" t="b">
        <f t="shared" si="4"/>
        <v>1</v>
      </c>
      <c r="R9" s="6" t="b">
        <f t="shared" si="0"/>
        <v>1</v>
      </c>
      <c r="S9" s="6" t="b">
        <f t="shared" si="0"/>
        <v>1</v>
      </c>
      <c r="T9" s="6" t="b">
        <f t="shared" si="0"/>
        <v>1</v>
      </c>
      <c r="U9" s="6" t="b">
        <f t="shared" si="1"/>
        <v>1</v>
      </c>
      <c r="V9" s="6" t="b">
        <f t="shared" si="5"/>
        <v>1</v>
      </c>
      <c r="W9" s="6" t="b">
        <f t="shared" si="2"/>
        <v>1</v>
      </c>
      <c r="X9" s="6" t="b">
        <f t="shared" si="2"/>
        <v>1</v>
      </c>
      <c r="Y9" s="6" t="b">
        <f t="shared" si="2"/>
        <v>1</v>
      </c>
    </row>
    <row r="10" spans="2:25" ht="50.1" customHeight="1" x14ac:dyDescent="0.25">
      <c r="B10" s="13" t="str">
        <f>RegHPInd!A7</f>
        <v>1.6.3</v>
      </c>
      <c r="C10" s="18" t="str">
        <f>RegHPInd!B7</f>
        <v>Modelled and supported colleagues in the proficient use of Mother Tongue, Filipino and English to improve teaching and learning, as well as to develop learners’ pride of their language, heritage and culture</v>
      </c>
      <c r="D10" s="13" t="str">
        <f>RegHPInd!D7</f>
        <v>COI</v>
      </c>
      <c r="E10" s="13">
        <f>RegHPInd!E7</f>
        <v>3</v>
      </c>
      <c r="F10" s="46"/>
      <c r="G10" s="81">
        <v>7.0000000000000007E-2</v>
      </c>
      <c r="H10" s="261" t="b">
        <v>1</v>
      </c>
      <c r="I10" s="6" t="b">
        <f t="shared" si="3"/>
        <v>1</v>
      </c>
      <c r="J10" s="137"/>
      <c r="K10" s="137">
        <v>1</v>
      </c>
      <c r="L10" s="137">
        <v>0</v>
      </c>
      <c r="M10" s="137">
        <v>1</v>
      </c>
      <c r="N10" s="137">
        <v>0</v>
      </c>
      <c r="Q10" s="6" t="b">
        <f t="shared" si="4"/>
        <v>1</v>
      </c>
      <c r="R10" s="6" t="b">
        <f t="shared" si="0"/>
        <v>1</v>
      </c>
      <c r="S10" s="6" t="b">
        <f t="shared" si="0"/>
        <v>1</v>
      </c>
      <c r="T10" s="6" t="b">
        <f t="shared" si="0"/>
        <v>1</v>
      </c>
      <c r="U10" s="6" t="b">
        <f t="shared" si="1"/>
        <v>1</v>
      </c>
      <c r="V10" s="6" t="b">
        <f t="shared" si="5"/>
        <v>1</v>
      </c>
      <c r="W10" s="6" t="b">
        <f t="shared" si="2"/>
        <v>1</v>
      </c>
      <c r="X10" s="6" t="b">
        <f t="shared" si="2"/>
        <v>1</v>
      </c>
      <c r="Y10" s="6" t="b">
        <f t="shared" si="2"/>
        <v>1</v>
      </c>
    </row>
    <row r="11" spans="2:25" ht="50.1" customHeight="1" x14ac:dyDescent="0.25">
      <c r="B11" s="13" t="str">
        <f>RegHPInd!A8</f>
        <v>1.7.3</v>
      </c>
      <c r="C11" s="18" t="str">
        <f>RegHPInd!B8</f>
        <v>Displayed a wide range of effective verbal and non-verbal classroom communication strategies to support learner understanding, participation, engagement and achievement</v>
      </c>
      <c r="D11" s="13" t="str">
        <f>RegHPInd!D8</f>
        <v>COI</v>
      </c>
      <c r="E11" s="13">
        <f>RegHPInd!E8</f>
        <v>3</v>
      </c>
      <c r="F11" s="46"/>
      <c r="G11" s="81"/>
      <c r="H11" s="261" t="b">
        <v>0</v>
      </c>
      <c r="I11" s="6" t="b">
        <f t="shared" si="3"/>
        <v>1</v>
      </c>
      <c r="J11" s="137"/>
      <c r="K11" s="137"/>
      <c r="L11" s="137"/>
      <c r="M11" s="137"/>
      <c r="N11" s="137"/>
      <c r="Q11" s="6" t="b">
        <f t="shared" si="4"/>
        <v>0</v>
      </c>
      <c r="R11" s="6" t="b">
        <f t="shared" si="0"/>
        <v>0</v>
      </c>
      <c r="S11" s="6" t="b">
        <f t="shared" si="0"/>
        <v>0</v>
      </c>
      <c r="T11" s="6" t="b">
        <f t="shared" si="0"/>
        <v>0</v>
      </c>
      <c r="U11" s="6" t="b">
        <f t="shared" si="1"/>
        <v>1</v>
      </c>
      <c r="V11" s="6" t="b">
        <f t="shared" si="5"/>
        <v>1</v>
      </c>
      <c r="W11" s="6" t="b">
        <f t="shared" si="2"/>
        <v>1</v>
      </c>
      <c r="X11" s="6" t="b">
        <f t="shared" si="2"/>
        <v>1</v>
      </c>
      <c r="Y11" s="6" t="b">
        <f t="shared" si="2"/>
        <v>1</v>
      </c>
    </row>
    <row r="12" spans="2:25" s="7" customFormat="1" x14ac:dyDescent="0.25">
      <c r="B12" s="347" t="s">
        <v>896</v>
      </c>
      <c r="C12" s="347"/>
      <c r="D12" s="347"/>
      <c r="E12" s="347"/>
      <c r="F12" s="348"/>
      <c r="G12" s="203"/>
      <c r="H12" s="6"/>
      <c r="I12" s="6" t="b">
        <f t="shared" si="3"/>
        <v>1</v>
      </c>
      <c r="J12" s="13"/>
      <c r="K12" s="13"/>
      <c r="L12" s="13"/>
      <c r="M12" s="13"/>
      <c r="N12" s="13"/>
      <c r="Q12" s="6" t="b">
        <f t="shared" si="4"/>
        <v>0</v>
      </c>
      <c r="R12" s="6" t="b">
        <f t="shared" si="0"/>
        <v>0</v>
      </c>
      <c r="S12" s="6" t="b">
        <f t="shared" si="0"/>
        <v>0</v>
      </c>
      <c r="T12" s="6" t="b">
        <f t="shared" si="0"/>
        <v>0</v>
      </c>
      <c r="U12" s="6" t="b">
        <f t="shared" si="1"/>
        <v>1</v>
      </c>
      <c r="V12" s="6" t="b">
        <f t="shared" si="5"/>
        <v>1</v>
      </c>
      <c r="W12" s="6" t="b">
        <f t="shared" si="2"/>
        <v>1</v>
      </c>
      <c r="X12" s="6" t="b">
        <f t="shared" si="2"/>
        <v>1</v>
      </c>
      <c r="Y12" s="6" t="b">
        <f t="shared" si="2"/>
        <v>1</v>
      </c>
    </row>
    <row r="13" spans="2:25" ht="50.1" customHeight="1" x14ac:dyDescent="0.25">
      <c r="B13" s="13" t="str">
        <f>RegHPInd!A9</f>
        <v>2.1.3</v>
      </c>
      <c r="C13" s="18" t="str">
        <f>RegHPInd!B9</f>
        <v>Exhibited effective strategies that ensure safe and secure learning environments to enhance learning through the consistent implementation of policies, guidelines and procedures</v>
      </c>
      <c r="D13" s="13" t="str">
        <f>RegHPInd!D9</f>
        <v>COI</v>
      </c>
      <c r="E13" s="13">
        <f>RegHPInd!E9</f>
        <v>3</v>
      </c>
      <c r="F13" s="46"/>
      <c r="G13" s="81">
        <v>7.0000000000000007E-2</v>
      </c>
      <c r="H13" s="261" t="b">
        <v>1</v>
      </c>
      <c r="I13" s="6" t="b">
        <f t="shared" si="3"/>
        <v>1</v>
      </c>
      <c r="J13" s="137"/>
      <c r="K13" s="137">
        <v>1</v>
      </c>
      <c r="L13" s="137">
        <v>0</v>
      </c>
      <c r="M13" s="137">
        <v>1</v>
      </c>
      <c r="N13" s="137">
        <v>0</v>
      </c>
      <c r="Q13" s="6" t="b">
        <f t="shared" si="4"/>
        <v>1</v>
      </c>
      <c r="R13" s="6" t="b">
        <f t="shared" si="0"/>
        <v>1</v>
      </c>
      <c r="S13" s="6" t="b">
        <f t="shared" si="0"/>
        <v>1</v>
      </c>
      <c r="T13" s="6" t="b">
        <f t="shared" si="0"/>
        <v>1</v>
      </c>
      <c r="U13" s="6" t="b">
        <f t="shared" si="1"/>
        <v>1</v>
      </c>
      <c r="V13" s="6" t="b">
        <f t="shared" si="5"/>
        <v>1</v>
      </c>
      <c r="W13" s="6" t="b">
        <f t="shared" si="2"/>
        <v>1</v>
      </c>
      <c r="X13" s="6" t="b">
        <f t="shared" si="2"/>
        <v>1</v>
      </c>
      <c r="Y13" s="6" t="b">
        <f t="shared" si="2"/>
        <v>1</v>
      </c>
    </row>
    <row r="14" spans="2:25" ht="50.1" customHeight="1" x14ac:dyDescent="0.25">
      <c r="B14" s="13" t="str">
        <f>RegHPInd!A10</f>
        <v>2.2.3</v>
      </c>
      <c r="C14" s="18" t="str">
        <f>RegHPInd!B10</f>
        <v>Exhibited effective practices to foster learning environments that promote fairness, respect and care to encourage learning</v>
      </c>
      <c r="D14" s="13" t="str">
        <f>RegHPInd!D10</f>
        <v>COI</v>
      </c>
      <c r="E14" s="13">
        <f>RegHPInd!E10</f>
        <v>3</v>
      </c>
      <c r="F14" s="46"/>
      <c r="G14" s="81">
        <v>7.0000000000000007E-2</v>
      </c>
      <c r="H14" s="261" t="b">
        <v>1</v>
      </c>
      <c r="I14" s="6" t="b">
        <f t="shared" si="3"/>
        <v>1</v>
      </c>
      <c r="J14" s="137"/>
      <c r="K14" s="137">
        <v>1</v>
      </c>
      <c r="L14" s="137">
        <v>0</v>
      </c>
      <c r="M14" s="137">
        <v>1</v>
      </c>
      <c r="N14" s="137">
        <v>0</v>
      </c>
      <c r="Q14" s="6" t="b">
        <f t="shared" si="4"/>
        <v>1</v>
      </c>
      <c r="R14" s="6" t="b">
        <f t="shared" si="0"/>
        <v>1</v>
      </c>
      <c r="S14" s="6" t="b">
        <f t="shared" si="0"/>
        <v>1</v>
      </c>
      <c r="T14" s="6" t="b">
        <f t="shared" si="0"/>
        <v>1</v>
      </c>
      <c r="U14" s="6" t="b">
        <f t="shared" si="1"/>
        <v>1</v>
      </c>
      <c r="V14" s="6" t="b">
        <f t="shared" si="5"/>
        <v>1</v>
      </c>
      <c r="W14" s="6" t="b">
        <f t="shared" si="2"/>
        <v>1</v>
      </c>
      <c r="X14" s="6" t="b">
        <f t="shared" si="2"/>
        <v>1</v>
      </c>
      <c r="Y14" s="6" t="b">
        <f t="shared" si="2"/>
        <v>1</v>
      </c>
    </row>
    <row r="15" spans="2:25" ht="66" customHeight="1" x14ac:dyDescent="0.25">
      <c r="B15" s="13" t="str">
        <f>RegHPInd!A11</f>
        <v>2.3.3</v>
      </c>
      <c r="C15" s="18" t="str">
        <f>RegHPInd!B11</f>
        <v>Worked with colleagues to model and share effective techniques in the management of classroom structure to engage learners, individually or in groups, in meaningful exploration, discovery and hands-on activities within a range of physical learning environments</v>
      </c>
      <c r="D15" s="13" t="str">
        <f>RegHPInd!D11</f>
        <v>COI</v>
      </c>
      <c r="E15" s="13">
        <f>RegHPInd!E11</f>
        <v>1</v>
      </c>
      <c r="F15" s="46"/>
      <c r="G15" s="81"/>
      <c r="H15" s="261" t="b">
        <v>0</v>
      </c>
      <c r="I15" s="6" t="b">
        <f t="shared" si="3"/>
        <v>1</v>
      </c>
      <c r="J15" s="137"/>
      <c r="K15" s="137"/>
      <c r="L15" s="137"/>
      <c r="M15" s="137"/>
      <c r="N15" s="137"/>
      <c r="Q15" s="6" t="b">
        <f t="shared" si="4"/>
        <v>0</v>
      </c>
      <c r="R15" s="6" t="b">
        <f t="shared" si="0"/>
        <v>0</v>
      </c>
      <c r="S15" s="6" t="b">
        <f t="shared" si="0"/>
        <v>0</v>
      </c>
      <c r="T15" s="6" t="b">
        <f t="shared" si="0"/>
        <v>0</v>
      </c>
      <c r="U15" s="6" t="b">
        <f t="shared" si="1"/>
        <v>1</v>
      </c>
      <c r="V15" s="6" t="b">
        <f t="shared" si="5"/>
        <v>1</v>
      </c>
      <c r="W15" s="6" t="b">
        <f t="shared" si="2"/>
        <v>1</v>
      </c>
      <c r="X15" s="6" t="b">
        <f t="shared" si="2"/>
        <v>1</v>
      </c>
      <c r="Y15" s="6" t="b">
        <f t="shared" si="2"/>
        <v>1</v>
      </c>
    </row>
    <row r="16" spans="2:25" ht="50.1" customHeight="1" x14ac:dyDescent="0.25">
      <c r="B16" s="13" t="str">
        <f>RegHPInd!A12</f>
        <v>2.4.3</v>
      </c>
      <c r="C16" s="18" t="str">
        <f>RegHPInd!B12</f>
        <v>Worked with colleagues to share successful strategies that sustain supportive learning environments that nurture and inspire learners to participate, cooperate and collaborate in continued learning</v>
      </c>
      <c r="D16" s="13" t="str">
        <f>RegHPInd!D12</f>
        <v>NCOI</v>
      </c>
      <c r="E16" s="13">
        <f>RegHPInd!E12</f>
        <v>3</v>
      </c>
      <c r="F16" s="46"/>
      <c r="G16" s="81"/>
      <c r="H16" s="261" t="b">
        <v>0</v>
      </c>
      <c r="I16" s="6" t="b">
        <f t="shared" si="3"/>
        <v>1</v>
      </c>
      <c r="J16" s="137"/>
      <c r="K16" s="137"/>
      <c r="L16" s="137"/>
      <c r="M16" s="137"/>
      <c r="N16" s="137"/>
      <c r="Q16" s="6" t="b">
        <f t="shared" si="4"/>
        <v>0</v>
      </c>
      <c r="R16" s="6" t="b">
        <f t="shared" si="0"/>
        <v>0</v>
      </c>
      <c r="S16" s="6" t="b">
        <f t="shared" si="0"/>
        <v>0</v>
      </c>
      <c r="T16" s="6" t="b">
        <f t="shared" si="0"/>
        <v>0</v>
      </c>
      <c r="U16" s="6" t="b">
        <f t="shared" si="1"/>
        <v>1</v>
      </c>
      <c r="V16" s="6" t="b">
        <f t="shared" si="5"/>
        <v>1</v>
      </c>
      <c r="W16" s="6" t="b">
        <f t="shared" si="2"/>
        <v>1</v>
      </c>
      <c r="X16" s="6" t="b">
        <f t="shared" si="2"/>
        <v>1</v>
      </c>
      <c r="Y16" s="6" t="b">
        <f t="shared" si="2"/>
        <v>1</v>
      </c>
    </row>
    <row r="17" spans="2:25" ht="50.1" customHeight="1" x14ac:dyDescent="0.25">
      <c r="B17" s="13" t="str">
        <f>RegHPInd!A13</f>
        <v>2.5.3</v>
      </c>
      <c r="C17" s="18" t="str">
        <f>RegHPInd!B13</f>
        <v>Modelled successful strategies and supported colleagues in promoting learning environments that effectively motivate learners to work productively by assuming responsibility for their own learning</v>
      </c>
      <c r="D17" s="13" t="str">
        <f>RegHPInd!D13</f>
        <v>NCOI</v>
      </c>
      <c r="E17" s="13">
        <f>RegHPInd!E13</f>
        <v>3</v>
      </c>
      <c r="F17" s="46"/>
      <c r="G17" s="81"/>
      <c r="H17" s="261" t="b">
        <v>0</v>
      </c>
      <c r="I17" s="6" t="b">
        <f t="shared" si="3"/>
        <v>1</v>
      </c>
      <c r="J17" s="137"/>
      <c r="K17" s="137"/>
      <c r="L17" s="137"/>
      <c r="M17" s="137"/>
      <c r="N17" s="137"/>
      <c r="Q17" s="6" t="b">
        <f t="shared" si="4"/>
        <v>0</v>
      </c>
      <c r="R17" s="6" t="b">
        <f t="shared" si="0"/>
        <v>0</v>
      </c>
      <c r="S17" s="6" t="b">
        <f t="shared" si="0"/>
        <v>0</v>
      </c>
      <c r="T17" s="6" t="b">
        <f t="shared" si="0"/>
        <v>0</v>
      </c>
      <c r="U17" s="6" t="b">
        <f t="shared" si="1"/>
        <v>1</v>
      </c>
      <c r="V17" s="6" t="b">
        <f t="shared" si="5"/>
        <v>1</v>
      </c>
      <c r="W17" s="6" t="b">
        <f t="shared" si="2"/>
        <v>1</v>
      </c>
      <c r="X17" s="6" t="b">
        <f t="shared" si="2"/>
        <v>1</v>
      </c>
      <c r="Y17" s="6" t="b">
        <f t="shared" si="2"/>
        <v>1</v>
      </c>
    </row>
    <row r="18" spans="2:25" ht="50.1" customHeight="1" x14ac:dyDescent="0.25">
      <c r="B18" s="13" t="str">
        <f>RegHPInd!A14</f>
        <v>2.6.3</v>
      </c>
      <c r="C18" s="18" t="str">
        <f>RegHPInd!B14</f>
        <v>Exhibited effective and constructive behavior management skills by applying positive and non-violent discipline to ensure learning- focused environments</v>
      </c>
      <c r="D18" s="13" t="str">
        <f>RegHPInd!D14</f>
        <v>COI</v>
      </c>
      <c r="E18" s="13">
        <f>RegHPInd!E14</f>
        <v>1</v>
      </c>
      <c r="F18" s="46"/>
      <c r="G18" s="81"/>
      <c r="H18" s="261" t="b">
        <v>0</v>
      </c>
      <c r="I18" s="6" t="b">
        <f t="shared" si="3"/>
        <v>1</v>
      </c>
      <c r="J18" s="137"/>
      <c r="K18" s="137"/>
      <c r="L18" s="137"/>
      <c r="M18" s="137"/>
      <c r="N18" s="137"/>
      <c r="Q18" s="6" t="b">
        <f t="shared" si="4"/>
        <v>0</v>
      </c>
      <c r="R18" s="6" t="b">
        <f t="shared" si="0"/>
        <v>0</v>
      </c>
      <c r="S18" s="6" t="b">
        <f t="shared" si="0"/>
        <v>0</v>
      </c>
      <c r="T18" s="6" t="b">
        <f t="shared" si="0"/>
        <v>0</v>
      </c>
      <c r="U18" s="6" t="b">
        <f t="shared" si="1"/>
        <v>1</v>
      </c>
      <c r="V18" s="6" t="b">
        <f t="shared" si="5"/>
        <v>1</v>
      </c>
      <c r="W18" s="6" t="b">
        <f t="shared" si="2"/>
        <v>1</v>
      </c>
      <c r="X18" s="6" t="b">
        <f t="shared" si="2"/>
        <v>1</v>
      </c>
      <c r="Y18" s="6" t="b">
        <f t="shared" si="2"/>
        <v>1</v>
      </c>
    </row>
    <row r="19" spans="2:25" s="7" customFormat="1" x14ac:dyDescent="0.25">
      <c r="B19" s="347" t="s">
        <v>897</v>
      </c>
      <c r="C19" s="347"/>
      <c r="D19" s="347"/>
      <c r="E19" s="347"/>
      <c r="F19" s="348"/>
      <c r="G19" s="203"/>
      <c r="H19" s="6"/>
      <c r="I19" s="6" t="b">
        <f t="shared" si="3"/>
        <v>1</v>
      </c>
      <c r="J19" s="13"/>
      <c r="K19" s="13"/>
      <c r="L19" s="13"/>
      <c r="M19" s="13"/>
      <c r="N19" s="13"/>
      <c r="Q19" s="6" t="b">
        <f t="shared" si="4"/>
        <v>0</v>
      </c>
      <c r="R19" s="6" t="b">
        <f t="shared" si="0"/>
        <v>0</v>
      </c>
      <c r="S19" s="6" t="b">
        <f t="shared" si="0"/>
        <v>0</v>
      </c>
      <c r="T19" s="6" t="b">
        <f t="shared" si="0"/>
        <v>0</v>
      </c>
      <c r="U19" s="6" t="b">
        <f t="shared" si="1"/>
        <v>1</v>
      </c>
      <c r="V19" s="6" t="b">
        <f t="shared" si="5"/>
        <v>1</v>
      </c>
      <c r="W19" s="6" t="b">
        <f t="shared" si="2"/>
        <v>1</v>
      </c>
      <c r="X19" s="6" t="b">
        <f t="shared" si="2"/>
        <v>1</v>
      </c>
      <c r="Y19" s="6" t="b">
        <f t="shared" si="2"/>
        <v>1</v>
      </c>
    </row>
    <row r="20" spans="2:25" ht="50.1" customHeight="1" x14ac:dyDescent="0.25">
      <c r="B20" s="13" t="str">
        <f>RegHPInd!A15</f>
        <v>3.1.3</v>
      </c>
      <c r="C20" s="18" t="str">
        <f>RegHPInd!B15</f>
        <v>Worked with colleagues to share differentiated, developmentally appropriate opportunities to address learners’ differences in gender, needs, strengths, interests and experiences</v>
      </c>
      <c r="D20" s="13" t="str">
        <f>RegHPInd!D15</f>
        <v>COI</v>
      </c>
      <c r="E20" s="13">
        <f>RegHPInd!E15</f>
        <v>1</v>
      </c>
      <c r="F20" s="46"/>
      <c r="G20" s="81"/>
      <c r="H20" s="261" t="b">
        <v>0</v>
      </c>
      <c r="I20" s="6" t="b">
        <f t="shared" si="3"/>
        <v>1</v>
      </c>
      <c r="J20" s="137"/>
      <c r="K20" s="137"/>
      <c r="L20" s="137"/>
      <c r="M20" s="137"/>
      <c r="N20" s="137"/>
      <c r="Q20" s="6" t="b">
        <f t="shared" si="4"/>
        <v>0</v>
      </c>
      <c r="R20" s="6" t="b">
        <f t="shared" si="4"/>
        <v>0</v>
      </c>
      <c r="S20" s="6" t="b">
        <f t="shared" si="4"/>
        <v>0</v>
      </c>
      <c r="T20" s="6" t="b">
        <f t="shared" si="4"/>
        <v>0</v>
      </c>
      <c r="U20" s="6" t="b">
        <f t="shared" si="1"/>
        <v>1</v>
      </c>
      <c r="V20" s="6" t="b">
        <f t="shared" si="5"/>
        <v>1</v>
      </c>
      <c r="W20" s="6" t="b">
        <f t="shared" si="5"/>
        <v>1</v>
      </c>
      <c r="X20" s="6" t="b">
        <f t="shared" si="5"/>
        <v>1</v>
      </c>
      <c r="Y20" s="6" t="b">
        <f t="shared" si="5"/>
        <v>1</v>
      </c>
    </row>
    <row r="21" spans="2:25" ht="50.1" customHeight="1" x14ac:dyDescent="0.25">
      <c r="B21" s="13" t="str">
        <f>RegHPInd!A16</f>
        <v>3.2.3</v>
      </c>
      <c r="C21" s="18" t="str">
        <f>RegHPInd!B16</f>
        <v>Exhibited a learner-centered culture that promotes success by using effective teaching strategies that respond to their linguistic, cultural, socioeconomic and religious backgrounds</v>
      </c>
      <c r="D21" s="13" t="str">
        <f>RegHPInd!D16</f>
        <v>COI</v>
      </c>
      <c r="E21" s="13">
        <f>RegHPInd!E16</f>
        <v>1</v>
      </c>
      <c r="F21" s="46"/>
      <c r="G21" s="81">
        <v>7.0000000000000007E-2</v>
      </c>
      <c r="H21" s="261" t="b">
        <v>1</v>
      </c>
      <c r="I21" s="6" t="b">
        <f t="shared" si="3"/>
        <v>1</v>
      </c>
      <c r="J21" s="137"/>
      <c r="K21" s="137">
        <v>0</v>
      </c>
      <c r="L21" s="137">
        <v>1</v>
      </c>
      <c r="M21" s="137">
        <v>0</v>
      </c>
      <c r="N21" s="137">
        <v>1</v>
      </c>
      <c r="Q21" s="6" t="b">
        <f t="shared" si="4"/>
        <v>1</v>
      </c>
      <c r="R21" s="6" t="b">
        <f t="shared" si="4"/>
        <v>1</v>
      </c>
      <c r="S21" s="6" t="b">
        <f t="shared" si="4"/>
        <v>1</v>
      </c>
      <c r="T21" s="6" t="b">
        <f t="shared" si="4"/>
        <v>1</v>
      </c>
      <c r="U21" s="6" t="b">
        <f t="shared" si="1"/>
        <v>1</v>
      </c>
      <c r="V21" s="6" t="b">
        <f t="shared" si="5"/>
        <v>1</v>
      </c>
      <c r="W21" s="6" t="b">
        <f t="shared" si="5"/>
        <v>1</v>
      </c>
      <c r="X21" s="6" t="b">
        <f t="shared" si="5"/>
        <v>1</v>
      </c>
      <c r="Y21" s="6" t="b">
        <f t="shared" si="5"/>
        <v>1</v>
      </c>
    </row>
    <row r="22" spans="2:25" ht="50.1" customHeight="1" x14ac:dyDescent="0.25">
      <c r="B22" s="13" t="str">
        <f>RegHPInd!A17</f>
        <v>3.3.3</v>
      </c>
      <c r="C22" s="18" t="str">
        <f>RegHPInd!B17</f>
        <v>Assisted colleagues to design, adapt and implement teaching strategies that are responsive to learners with disabilities, giftedness and talents</v>
      </c>
      <c r="D22" s="13" t="str">
        <f>RegHPInd!D17</f>
        <v>COI/NCOI</v>
      </c>
      <c r="E22" s="13">
        <f>RegHPInd!E17</f>
        <v>3</v>
      </c>
      <c r="F22" s="46"/>
      <c r="G22" s="81"/>
      <c r="H22" s="261" t="b">
        <v>0</v>
      </c>
      <c r="I22" s="6" t="b">
        <f t="shared" si="3"/>
        <v>1</v>
      </c>
      <c r="J22" s="137"/>
      <c r="K22" s="137"/>
      <c r="L22" s="137"/>
      <c r="M22" s="137"/>
      <c r="N22" s="137"/>
      <c r="Q22" s="6" t="b">
        <f t="shared" si="4"/>
        <v>0</v>
      </c>
      <c r="R22" s="6" t="b">
        <f t="shared" si="4"/>
        <v>0</v>
      </c>
      <c r="S22" s="6" t="b">
        <f t="shared" si="4"/>
        <v>0</v>
      </c>
      <c r="T22" s="6" t="b">
        <f t="shared" si="4"/>
        <v>0</v>
      </c>
      <c r="U22" s="6" t="b">
        <f t="shared" si="1"/>
        <v>1</v>
      </c>
      <c r="V22" s="6" t="b">
        <f t="shared" si="5"/>
        <v>1</v>
      </c>
      <c r="W22" s="6" t="b">
        <f t="shared" si="5"/>
        <v>1</v>
      </c>
      <c r="X22" s="6" t="b">
        <f t="shared" si="5"/>
        <v>1</v>
      </c>
      <c r="Y22" s="6" t="b">
        <f t="shared" si="5"/>
        <v>1</v>
      </c>
    </row>
    <row r="23" spans="2:25" ht="72.599999999999994" customHeight="1" x14ac:dyDescent="0.25">
      <c r="B23" s="13" t="str">
        <f>RegHPInd!A18</f>
        <v>3.4.3</v>
      </c>
      <c r="C23" s="18" t="str">
        <f>RegHPInd!B18</f>
        <v>Evaluated with colleagues teaching strategies that are responsive to the special educational needs of learners in difficult circumstances*, including: geographic isolation; chronic illness; displacement due to armed conflict, urban resettlement or disasters; child abuse and child labor practices</v>
      </c>
      <c r="D23" s="13" t="str">
        <f>RegHPInd!D18</f>
        <v>COI</v>
      </c>
      <c r="E23" s="13">
        <f>RegHPInd!E18</f>
        <v>2</v>
      </c>
      <c r="F23" s="46"/>
      <c r="G23" s="81"/>
      <c r="H23" s="261" t="b">
        <v>0</v>
      </c>
      <c r="I23" s="6" t="b">
        <f t="shared" si="3"/>
        <v>1</v>
      </c>
      <c r="J23" s="137"/>
      <c r="K23" s="137"/>
      <c r="L23" s="137"/>
      <c r="M23" s="137"/>
      <c r="N23" s="137"/>
      <c r="Q23" s="6" t="b">
        <f t="shared" si="4"/>
        <v>0</v>
      </c>
      <c r="R23" s="6" t="b">
        <f t="shared" si="4"/>
        <v>0</v>
      </c>
      <c r="S23" s="6" t="b">
        <f t="shared" si="4"/>
        <v>0</v>
      </c>
      <c r="T23" s="6" t="b">
        <f t="shared" si="4"/>
        <v>0</v>
      </c>
      <c r="U23" s="6" t="b">
        <f t="shared" si="1"/>
        <v>1</v>
      </c>
      <c r="V23" s="6" t="b">
        <f t="shared" si="5"/>
        <v>1</v>
      </c>
      <c r="W23" s="6" t="b">
        <f t="shared" si="5"/>
        <v>1</v>
      </c>
      <c r="X23" s="6" t="b">
        <f t="shared" si="5"/>
        <v>1</v>
      </c>
      <c r="Y23" s="6" t="b">
        <f t="shared" si="5"/>
        <v>1</v>
      </c>
    </row>
    <row r="24" spans="2:25" ht="50.1" customHeight="1" x14ac:dyDescent="0.25">
      <c r="B24" s="13" t="str">
        <f>RegHPInd!A19</f>
        <v>3.5.3</v>
      </c>
      <c r="C24" s="18" t="str">
        <f>RegHPInd!B19</f>
        <v>Developed and applied teaching strategies to address effectively the needs of learners from indigenous groups</v>
      </c>
      <c r="D24" s="13" t="str">
        <f>RegHPInd!D19</f>
        <v>COI</v>
      </c>
      <c r="E24" s="13">
        <f>RegHPInd!E19</f>
        <v>3</v>
      </c>
      <c r="F24" s="46"/>
      <c r="G24" s="81">
        <v>7.0000000000000007E-2</v>
      </c>
      <c r="H24" s="261" t="b">
        <v>1</v>
      </c>
      <c r="I24" s="6" t="b">
        <f t="shared" si="3"/>
        <v>1</v>
      </c>
      <c r="J24" s="137"/>
      <c r="K24" s="137">
        <v>0</v>
      </c>
      <c r="L24" s="137">
        <v>1</v>
      </c>
      <c r="M24" s="137">
        <v>0</v>
      </c>
      <c r="N24" s="137">
        <v>1</v>
      </c>
      <c r="Q24" s="6" t="b">
        <f t="shared" si="4"/>
        <v>1</v>
      </c>
      <c r="R24" s="6" t="b">
        <f t="shared" si="4"/>
        <v>1</v>
      </c>
      <c r="S24" s="6" t="b">
        <f t="shared" si="4"/>
        <v>1</v>
      </c>
      <c r="T24" s="6" t="b">
        <f t="shared" si="4"/>
        <v>1</v>
      </c>
      <c r="U24" s="6" t="b">
        <f t="shared" si="1"/>
        <v>1</v>
      </c>
      <c r="V24" s="6" t="b">
        <f t="shared" si="5"/>
        <v>1</v>
      </c>
      <c r="W24" s="6" t="b">
        <f t="shared" si="5"/>
        <v>1</v>
      </c>
      <c r="X24" s="6" t="b">
        <f t="shared" si="5"/>
        <v>1</v>
      </c>
      <c r="Y24" s="6" t="b">
        <f t="shared" si="5"/>
        <v>1</v>
      </c>
    </row>
    <row r="25" spans="2:25" s="7" customFormat="1" x14ac:dyDescent="0.25">
      <c r="B25" s="347" t="s">
        <v>898</v>
      </c>
      <c r="C25" s="347"/>
      <c r="D25" s="347"/>
      <c r="E25" s="347"/>
      <c r="F25" s="348"/>
      <c r="G25" s="203"/>
      <c r="H25" s="6"/>
      <c r="I25" s="6" t="b">
        <f t="shared" si="3"/>
        <v>1</v>
      </c>
      <c r="J25" s="13"/>
      <c r="K25" s="13"/>
      <c r="L25" s="13"/>
      <c r="M25" s="13"/>
      <c r="N25" s="13"/>
      <c r="Q25" s="6" t="b">
        <f t="shared" si="4"/>
        <v>0</v>
      </c>
      <c r="R25" s="6" t="b">
        <f t="shared" si="4"/>
        <v>0</v>
      </c>
      <c r="S25" s="6" t="b">
        <f t="shared" si="4"/>
        <v>0</v>
      </c>
      <c r="T25" s="6" t="b">
        <f t="shared" si="4"/>
        <v>0</v>
      </c>
      <c r="U25" s="6" t="b">
        <f t="shared" si="1"/>
        <v>1</v>
      </c>
      <c r="V25" s="6" t="b">
        <f t="shared" si="5"/>
        <v>1</v>
      </c>
      <c r="W25" s="6" t="b">
        <f t="shared" si="5"/>
        <v>1</v>
      </c>
      <c r="X25" s="6" t="b">
        <f t="shared" si="5"/>
        <v>1</v>
      </c>
      <c r="Y25" s="6" t="b">
        <f t="shared" si="5"/>
        <v>1</v>
      </c>
    </row>
    <row r="26" spans="2:25" ht="65.099999999999994" customHeight="1" x14ac:dyDescent="0.25">
      <c r="B26" s="13" t="str">
        <f>RegHPInd!A20</f>
        <v>4.1.3</v>
      </c>
      <c r="C26" s="18" t="str">
        <f>RegHPInd!B20</f>
        <v>Developed and applied effective strategies in the planning and management of developmentally sequenced teaching and learning processes  to meet curriculum requirements and varied teaching
contexts</v>
      </c>
      <c r="D26" s="13" t="str">
        <f>RegHPInd!D20</f>
        <v>COI</v>
      </c>
      <c r="E26" s="13">
        <f>RegHPInd!E20</f>
        <v>1</v>
      </c>
      <c r="F26" s="46"/>
      <c r="G26" s="81"/>
      <c r="H26" s="261" t="b">
        <v>0</v>
      </c>
      <c r="I26" s="6" t="b">
        <f t="shared" si="3"/>
        <v>1</v>
      </c>
      <c r="J26" s="137"/>
      <c r="K26" s="137"/>
      <c r="L26" s="137"/>
      <c r="M26" s="137"/>
      <c r="N26" s="137"/>
      <c r="Q26" s="6" t="b">
        <f t="shared" si="4"/>
        <v>0</v>
      </c>
      <c r="R26" s="6" t="b">
        <f t="shared" si="4"/>
        <v>0</v>
      </c>
      <c r="S26" s="6" t="b">
        <f t="shared" si="4"/>
        <v>0</v>
      </c>
      <c r="T26" s="6" t="b">
        <f t="shared" si="4"/>
        <v>0</v>
      </c>
      <c r="U26" s="6" t="b">
        <f t="shared" si="1"/>
        <v>1</v>
      </c>
      <c r="V26" s="6" t="b">
        <f t="shared" si="5"/>
        <v>1</v>
      </c>
      <c r="W26" s="6" t="b">
        <f t="shared" si="5"/>
        <v>1</v>
      </c>
      <c r="X26" s="6" t="b">
        <f t="shared" si="5"/>
        <v>1</v>
      </c>
      <c r="Y26" s="6" t="b">
        <f t="shared" si="5"/>
        <v>1</v>
      </c>
    </row>
    <row r="27" spans="2:25" ht="50.1" customHeight="1" x14ac:dyDescent="0.25">
      <c r="B27" s="13" t="str">
        <f>RegHPInd!A21</f>
        <v>4.2.3</v>
      </c>
      <c r="C27" s="18" t="str">
        <f>RegHPInd!B21</f>
        <v>Modelled to colleagues the setting of achievable and challenging learning outcomes that are aligned with learning competencies to cultivate a culture of excellence for all learners</v>
      </c>
      <c r="D27" s="13" t="str">
        <f>RegHPInd!D21</f>
        <v>NCOI</v>
      </c>
      <c r="E27" s="13">
        <f>RegHPInd!E21</f>
        <v>2</v>
      </c>
      <c r="F27" s="46"/>
      <c r="G27" s="81">
        <v>7.0000000000000007E-2</v>
      </c>
      <c r="H27" s="261" t="b">
        <v>1</v>
      </c>
      <c r="I27" s="6" t="b">
        <f t="shared" si="3"/>
        <v>1</v>
      </c>
      <c r="J27" s="137"/>
      <c r="K27" s="137"/>
      <c r="L27" s="137"/>
      <c r="M27" s="137"/>
      <c r="N27" s="137"/>
      <c r="Q27" s="6" t="b">
        <f t="shared" si="4"/>
        <v>0</v>
      </c>
      <c r="R27" s="6" t="b">
        <f t="shared" si="4"/>
        <v>0</v>
      </c>
      <c r="S27" s="6" t="b">
        <f t="shared" si="4"/>
        <v>0</v>
      </c>
      <c r="T27" s="6" t="b">
        <f t="shared" si="4"/>
        <v>0</v>
      </c>
      <c r="U27" s="6" t="b">
        <f t="shared" si="1"/>
        <v>1</v>
      </c>
      <c r="V27" s="6" t="b">
        <f t="shared" si="5"/>
        <v>1</v>
      </c>
      <c r="W27" s="6" t="b">
        <f t="shared" si="5"/>
        <v>1</v>
      </c>
      <c r="X27" s="6" t="b">
        <f t="shared" si="5"/>
        <v>1</v>
      </c>
      <c r="Y27" s="6" t="b">
        <f t="shared" si="5"/>
        <v>1</v>
      </c>
    </row>
    <row r="28" spans="2:25" ht="50.1" customHeight="1" x14ac:dyDescent="0.25">
      <c r="B28" s="13" t="str">
        <f>RegHPInd!A22</f>
        <v>4.3.3</v>
      </c>
      <c r="C28" s="18" t="str">
        <f>RegHPInd!B22</f>
        <v>Worked collaboratively with colleagues to evaluate the design of learning programs that develop the knowledge and skills of learners at different ability levels</v>
      </c>
      <c r="D28" s="13" t="str">
        <f>RegHPInd!D22</f>
        <v>NCOI</v>
      </c>
      <c r="E28" s="13">
        <f>RegHPInd!E22</f>
        <v>3</v>
      </c>
      <c r="F28" s="46"/>
      <c r="G28" s="81"/>
      <c r="H28" s="261" t="b">
        <v>0</v>
      </c>
      <c r="I28" s="6" t="b">
        <f t="shared" si="3"/>
        <v>1</v>
      </c>
      <c r="J28" s="137"/>
      <c r="K28" s="137"/>
      <c r="L28" s="137"/>
      <c r="M28" s="137"/>
      <c r="N28" s="137"/>
      <c r="Q28" s="6" t="b">
        <f t="shared" si="4"/>
        <v>0</v>
      </c>
      <c r="R28" s="6" t="b">
        <f t="shared" si="4"/>
        <v>0</v>
      </c>
      <c r="S28" s="6" t="b">
        <f t="shared" si="4"/>
        <v>0</v>
      </c>
      <c r="T28" s="6" t="b">
        <f t="shared" si="4"/>
        <v>0</v>
      </c>
      <c r="U28" s="6" t="b">
        <f t="shared" si="1"/>
        <v>1</v>
      </c>
      <c r="V28" s="6" t="b">
        <f t="shared" si="5"/>
        <v>1</v>
      </c>
      <c r="W28" s="6" t="b">
        <f t="shared" si="5"/>
        <v>1</v>
      </c>
      <c r="X28" s="6" t="b">
        <f t="shared" si="5"/>
        <v>1</v>
      </c>
      <c r="Y28" s="6" t="b">
        <f t="shared" si="5"/>
        <v>1</v>
      </c>
    </row>
    <row r="29" spans="2:25" ht="50.1" customHeight="1" x14ac:dyDescent="0.25">
      <c r="B29" s="13" t="str">
        <f>RegHPInd!A23</f>
        <v>4.4.3</v>
      </c>
      <c r="C29" s="18" t="str">
        <f>RegHPInd!B23</f>
        <v>Reviewed with colleagues, teacher and learner feedback to plan, facilitate and enrich teaching practice</v>
      </c>
      <c r="D29" s="13" t="str">
        <f>RegHPInd!D23</f>
        <v>NCOI</v>
      </c>
      <c r="E29" s="13">
        <f>RegHPInd!E23</f>
        <v>1</v>
      </c>
      <c r="F29" s="46"/>
      <c r="G29" s="81"/>
      <c r="H29" s="261" t="b">
        <v>0</v>
      </c>
      <c r="I29" s="6" t="b">
        <f t="shared" si="3"/>
        <v>1</v>
      </c>
      <c r="J29" s="137"/>
      <c r="K29" s="137"/>
      <c r="L29" s="137"/>
      <c r="M29" s="137"/>
      <c r="N29" s="137"/>
      <c r="Q29" s="6" t="b">
        <f t="shared" si="4"/>
        <v>0</v>
      </c>
      <c r="R29" s="6" t="b">
        <f t="shared" si="4"/>
        <v>0</v>
      </c>
      <c r="S29" s="6" t="b">
        <f t="shared" si="4"/>
        <v>0</v>
      </c>
      <c r="T29" s="6" t="b">
        <f t="shared" si="4"/>
        <v>0</v>
      </c>
      <c r="U29" s="6" t="b">
        <f t="shared" si="1"/>
        <v>1</v>
      </c>
      <c r="V29" s="6" t="b">
        <f t="shared" si="5"/>
        <v>1</v>
      </c>
      <c r="W29" s="6" t="b">
        <f t="shared" si="5"/>
        <v>1</v>
      </c>
      <c r="X29" s="6" t="b">
        <f t="shared" si="5"/>
        <v>1</v>
      </c>
      <c r="Y29" s="6" t="b">
        <f t="shared" si="5"/>
        <v>1</v>
      </c>
    </row>
    <row r="30" spans="2:25" ht="50.1" customHeight="1" x14ac:dyDescent="0.25">
      <c r="B30" s="13" t="str">
        <f>RegHPInd!A24</f>
        <v>4.5.3</v>
      </c>
      <c r="C30" s="18" t="str">
        <f>RegHPInd!B24</f>
        <v>Advised and guided colleagues  in the selection, organization, development and use of appropriate teaching and learning resources, including ICT, to address specific learning goals</v>
      </c>
      <c r="D30" s="13" t="str">
        <f>RegHPInd!D24</f>
        <v>NCOI</v>
      </c>
      <c r="E30" s="13">
        <f>RegHPInd!E24</f>
        <v>2</v>
      </c>
      <c r="F30" s="46"/>
      <c r="G30" s="81"/>
      <c r="H30" s="261" t="b">
        <v>0</v>
      </c>
      <c r="I30" s="6" t="b">
        <f t="shared" si="3"/>
        <v>1</v>
      </c>
      <c r="J30" s="137"/>
      <c r="K30" s="137"/>
      <c r="L30" s="137"/>
      <c r="M30" s="137"/>
      <c r="N30" s="137"/>
      <c r="Q30" s="6" t="b">
        <f t="shared" si="4"/>
        <v>0</v>
      </c>
      <c r="R30" s="6" t="b">
        <f t="shared" si="4"/>
        <v>0</v>
      </c>
      <c r="S30" s="6" t="b">
        <f t="shared" si="4"/>
        <v>0</v>
      </c>
      <c r="T30" s="6" t="b">
        <f t="shared" si="4"/>
        <v>0</v>
      </c>
      <c r="U30" s="6" t="b">
        <f t="shared" si="1"/>
        <v>1</v>
      </c>
      <c r="V30" s="6" t="b">
        <f t="shared" si="5"/>
        <v>1</v>
      </c>
      <c r="W30" s="6" t="b">
        <f t="shared" si="5"/>
        <v>1</v>
      </c>
      <c r="X30" s="6" t="b">
        <f t="shared" si="5"/>
        <v>1</v>
      </c>
      <c r="Y30" s="6" t="b">
        <f t="shared" si="5"/>
        <v>1</v>
      </c>
    </row>
    <row r="31" spans="2:25" s="7" customFormat="1" x14ac:dyDescent="0.25">
      <c r="B31" s="347" t="s">
        <v>899</v>
      </c>
      <c r="C31" s="347"/>
      <c r="D31" s="347"/>
      <c r="E31" s="347"/>
      <c r="F31" s="348"/>
      <c r="G31" s="203"/>
      <c r="H31" s="6"/>
      <c r="I31" s="6" t="b">
        <f t="shared" si="3"/>
        <v>1</v>
      </c>
      <c r="J31" s="13"/>
      <c r="K31" s="13"/>
      <c r="L31" s="13"/>
      <c r="M31" s="13"/>
      <c r="N31" s="13"/>
      <c r="Q31" s="6" t="b">
        <f t="shared" si="4"/>
        <v>0</v>
      </c>
      <c r="R31" s="6" t="b">
        <f t="shared" si="4"/>
        <v>0</v>
      </c>
      <c r="S31" s="6" t="b">
        <f t="shared" si="4"/>
        <v>0</v>
      </c>
      <c r="T31" s="6" t="b">
        <f t="shared" si="4"/>
        <v>0</v>
      </c>
      <c r="U31" s="6" t="b">
        <f t="shared" si="1"/>
        <v>1</v>
      </c>
      <c r="V31" s="6" t="b">
        <f t="shared" si="5"/>
        <v>1</v>
      </c>
      <c r="W31" s="6" t="b">
        <f t="shared" si="5"/>
        <v>1</v>
      </c>
      <c r="X31" s="6" t="b">
        <f t="shared" si="5"/>
        <v>1</v>
      </c>
      <c r="Y31" s="6" t="b">
        <f t="shared" si="5"/>
        <v>1</v>
      </c>
    </row>
    <row r="32" spans="2:25" ht="50.1" customHeight="1" x14ac:dyDescent="0.25">
      <c r="B32" s="13" t="str">
        <f>RegHPInd!A25</f>
        <v>5.1.3</v>
      </c>
      <c r="C32" s="18" t="str">
        <f>RegHPInd!B25</f>
        <v>Worked collaboratively with colleagues to review the design, selection, organization and use of a range of effective diagnostic, formative and summative assessment strategies consistent with curriculum requirements</v>
      </c>
      <c r="D32" s="13" t="str">
        <f>RegHPInd!D25</f>
        <v>NCOI</v>
      </c>
      <c r="E32" s="13">
        <f>RegHPInd!E25</f>
        <v>1</v>
      </c>
      <c r="F32" s="46"/>
      <c r="G32" s="81"/>
      <c r="H32" s="261" t="b">
        <v>0</v>
      </c>
      <c r="I32" s="6" t="b">
        <f t="shared" si="3"/>
        <v>1</v>
      </c>
      <c r="J32" s="137"/>
      <c r="K32" s="137"/>
      <c r="L32" s="137"/>
      <c r="M32" s="137"/>
      <c r="N32" s="137"/>
      <c r="Q32" s="6" t="b">
        <f t="shared" si="4"/>
        <v>0</v>
      </c>
      <c r="R32" s="6" t="b">
        <f t="shared" si="4"/>
        <v>0</v>
      </c>
      <c r="S32" s="6" t="b">
        <f t="shared" si="4"/>
        <v>0</v>
      </c>
      <c r="T32" s="6" t="b">
        <f t="shared" si="4"/>
        <v>0</v>
      </c>
      <c r="U32" s="6" t="b">
        <f t="shared" si="1"/>
        <v>1</v>
      </c>
      <c r="V32" s="6" t="b">
        <f t="shared" si="5"/>
        <v>1</v>
      </c>
      <c r="W32" s="6" t="b">
        <f t="shared" si="5"/>
        <v>1</v>
      </c>
      <c r="X32" s="6" t="b">
        <f t="shared" si="5"/>
        <v>1</v>
      </c>
      <c r="Y32" s="6" t="b">
        <f t="shared" si="5"/>
        <v>1</v>
      </c>
    </row>
    <row r="33" spans="2:25" ht="50.1" customHeight="1" x14ac:dyDescent="0.25">
      <c r="B33" s="13" t="str">
        <f>RegHPInd!A26</f>
        <v>5.2.3</v>
      </c>
      <c r="C33" s="18" t="str">
        <f>RegHPInd!B26</f>
        <v>Interpreted collaboratively monitoring and evaluation strategies of attainment data to support learner progress and achievement</v>
      </c>
      <c r="D33" s="13" t="str">
        <f>RegHPInd!D26</f>
        <v>NCOI</v>
      </c>
      <c r="E33" s="13">
        <f>RegHPInd!E26</f>
        <v>1</v>
      </c>
      <c r="F33" s="46"/>
      <c r="G33" s="81"/>
      <c r="H33" s="261" t="b">
        <v>0</v>
      </c>
      <c r="I33" s="6" t="b">
        <f t="shared" si="3"/>
        <v>1</v>
      </c>
      <c r="J33" s="137"/>
      <c r="K33" s="137"/>
      <c r="L33" s="137"/>
      <c r="M33" s="137"/>
      <c r="N33" s="137"/>
      <c r="Q33" s="6" t="b">
        <f t="shared" si="4"/>
        <v>0</v>
      </c>
      <c r="R33" s="6" t="b">
        <f t="shared" si="4"/>
        <v>0</v>
      </c>
      <c r="S33" s="6" t="b">
        <f t="shared" si="4"/>
        <v>0</v>
      </c>
      <c r="T33" s="6" t="b">
        <f t="shared" si="4"/>
        <v>0</v>
      </c>
      <c r="U33" s="6" t="b">
        <f t="shared" si="1"/>
        <v>1</v>
      </c>
      <c r="V33" s="6" t="b">
        <f t="shared" si="5"/>
        <v>1</v>
      </c>
      <c r="W33" s="6" t="b">
        <f t="shared" si="5"/>
        <v>1</v>
      </c>
      <c r="X33" s="6" t="b">
        <f t="shared" si="5"/>
        <v>1</v>
      </c>
      <c r="Y33" s="6" t="b">
        <f t="shared" si="5"/>
        <v>1</v>
      </c>
    </row>
    <row r="34" spans="2:25" ht="50.1" customHeight="1" x14ac:dyDescent="0.25">
      <c r="B34" s="13" t="str">
        <f>RegHPInd!A27</f>
        <v>5.3.3</v>
      </c>
      <c r="C34" s="18" t="str">
        <f>RegHPInd!B27</f>
        <v>Used effective strategies for providing timely, accurate and constructive feedback to encourage learners to reflect on and improve their own learning</v>
      </c>
      <c r="D34" s="13" t="str">
        <f>RegHPInd!D27</f>
        <v>COI</v>
      </c>
      <c r="E34" s="13">
        <f>RegHPInd!E27</f>
        <v>2</v>
      </c>
      <c r="F34" s="46"/>
      <c r="G34" s="81">
        <v>7.0000000000000007E-2</v>
      </c>
      <c r="H34" s="261" t="b">
        <v>1</v>
      </c>
      <c r="I34" s="6" t="b">
        <f t="shared" si="3"/>
        <v>1</v>
      </c>
      <c r="J34" s="137"/>
      <c r="K34" s="137">
        <v>0</v>
      </c>
      <c r="L34" s="137">
        <v>1</v>
      </c>
      <c r="M34" s="137">
        <v>0</v>
      </c>
      <c r="N34" s="137">
        <v>1</v>
      </c>
      <c r="Q34" s="6" t="b">
        <f t="shared" si="4"/>
        <v>1</v>
      </c>
      <c r="R34" s="6" t="b">
        <f t="shared" si="4"/>
        <v>1</v>
      </c>
      <c r="S34" s="6" t="b">
        <f t="shared" si="4"/>
        <v>1</v>
      </c>
      <c r="T34" s="6" t="b">
        <f t="shared" si="4"/>
        <v>1</v>
      </c>
      <c r="U34" s="6" t="b">
        <f t="shared" si="1"/>
        <v>1</v>
      </c>
      <c r="V34" s="6" t="b">
        <f t="shared" si="5"/>
        <v>1</v>
      </c>
      <c r="W34" s="6" t="b">
        <f t="shared" si="5"/>
        <v>1</v>
      </c>
      <c r="X34" s="6" t="b">
        <f t="shared" si="5"/>
        <v>1</v>
      </c>
      <c r="Y34" s="6" t="b">
        <f t="shared" si="5"/>
        <v>1</v>
      </c>
    </row>
    <row r="35" spans="2:25" ht="50.1" customHeight="1" x14ac:dyDescent="0.25">
      <c r="B35" s="13" t="str">
        <f>RegHPInd!A28</f>
        <v>5.4.3</v>
      </c>
      <c r="C35" s="18" t="str">
        <f>RegHPInd!B28</f>
        <v>Applied skills in the effective communication of learner needs, progress and achievement to key stakeholders, including parents/guardians</v>
      </c>
      <c r="D35" s="13" t="str">
        <f>RegHPInd!D28</f>
        <v>NCOI</v>
      </c>
      <c r="E35" s="13">
        <f>RegHPInd!E28</f>
        <v>1</v>
      </c>
      <c r="F35" s="46"/>
      <c r="G35" s="81"/>
      <c r="H35" s="261" t="b">
        <v>0</v>
      </c>
      <c r="I35" s="6" t="b">
        <f t="shared" si="3"/>
        <v>1</v>
      </c>
      <c r="J35" s="137"/>
      <c r="K35" s="137"/>
      <c r="L35" s="137"/>
      <c r="M35" s="137"/>
      <c r="N35" s="137"/>
      <c r="Q35" s="6" t="b">
        <f t="shared" si="4"/>
        <v>0</v>
      </c>
      <c r="R35" s="6" t="b">
        <f t="shared" si="4"/>
        <v>0</v>
      </c>
      <c r="S35" s="6" t="b">
        <f t="shared" si="4"/>
        <v>0</v>
      </c>
      <c r="T35" s="6" t="b">
        <f t="shared" si="4"/>
        <v>0</v>
      </c>
      <c r="U35" s="6" t="b">
        <f t="shared" si="1"/>
        <v>1</v>
      </c>
      <c r="V35" s="6" t="b">
        <f t="shared" si="5"/>
        <v>1</v>
      </c>
      <c r="W35" s="6" t="b">
        <f t="shared" si="5"/>
        <v>1</v>
      </c>
      <c r="X35" s="6" t="b">
        <f t="shared" si="5"/>
        <v>1</v>
      </c>
      <c r="Y35" s="6" t="b">
        <f t="shared" si="5"/>
        <v>1</v>
      </c>
    </row>
    <row r="36" spans="2:25" ht="50.1" customHeight="1" x14ac:dyDescent="0.25">
      <c r="B36" s="13" t="str">
        <f>RegHPInd!A29</f>
        <v>5.5.3</v>
      </c>
      <c r="C36" s="18" t="str">
        <f>RegHPInd!B29</f>
        <v>Worked collaboratively with colleagues to analyze and utilize assessment data to modify practices and programs to further support learner progress and achievement</v>
      </c>
      <c r="D36" s="13" t="str">
        <f>RegHPInd!D29</f>
        <v>NCOI</v>
      </c>
      <c r="E36" s="13">
        <f>RegHPInd!E29</f>
        <v>3</v>
      </c>
      <c r="F36" s="46"/>
      <c r="G36" s="81">
        <v>7.0000000000000007E-2</v>
      </c>
      <c r="H36" s="261" t="b">
        <v>1</v>
      </c>
      <c r="I36" s="6" t="b">
        <f t="shared" si="3"/>
        <v>1</v>
      </c>
      <c r="J36" s="137"/>
      <c r="K36" s="137"/>
      <c r="L36" s="137"/>
      <c r="M36" s="137"/>
      <c r="N36" s="137"/>
      <c r="Q36" s="6" t="b">
        <f t="shared" si="4"/>
        <v>0</v>
      </c>
      <c r="R36" s="6" t="b">
        <f t="shared" si="4"/>
        <v>0</v>
      </c>
      <c r="S36" s="6" t="b">
        <f t="shared" si="4"/>
        <v>0</v>
      </c>
      <c r="T36" s="6" t="b">
        <f t="shared" si="4"/>
        <v>0</v>
      </c>
      <c r="U36" s="6" t="b">
        <f t="shared" si="1"/>
        <v>1</v>
      </c>
      <c r="V36" s="6" t="b">
        <f t="shared" si="5"/>
        <v>1</v>
      </c>
      <c r="W36" s="6" t="b">
        <f t="shared" si="5"/>
        <v>1</v>
      </c>
      <c r="X36" s="6" t="b">
        <f t="shared" si="5"/>
        <v>1</v>
      </c>
      <c r="Y36" s="6" t="b">
        <f t="shared" si="5"/>
        <v>1</v>
      </c>
    </row>
    <row r="37" spans="2:25" s="7" customFormat="1" x14ac:dyDescent="0.25">
      <c r="B37" s="347" t="s">
        <v>900</v>
      </c>
      <c r="C37" s="347"/>
      <c r="D37" s="347"/>
      <c r="E37" s="347"/>
      <c r="F37" s="348"/>
      <c r="G37" s="203"/>
      <c r="H37" s="6"/>
      <c r="I37" s="6" t="b">
        <f t="shared" si="3"/>
        <v>1</v>
      </c>
      <c r="J37" s="13"/>
      <c r="K37" s="13"/>
      <c r="L37" s="13"/>
      <c r="M37" s="13"/>
      <c r="N37" s="13"/>
      <c r="Q37" s="6" t="b">
        <f t="shared" si="4"/>
        <v>0</v>
      </c>
      <c r="R37" s="6" t="b">
        <f t="shared" si="4"/>
        <v>0</v>
      </c>
      <c r="S37" s="6" t="b">
        <f t="shared" si="4"/>
        <v>0</v>
      </c>
      <c r="T37" s="6" t="b">
        <f t="shared" si="4"/>
        <v>0</v>
      </c>
      <c r="U37" s="6" t="b">
        <f t="shared" si="1"/>
        <v>1</v>
      </c>
      <c r="V37" s="6" t="b">
        <f t="shared" si="5"/>
        <v>1</v>
      </c>
      <c r="W37" s="6" t="b">
        <f t="shared" si="5"/>
        <v>1</v>
      </c>
      <c r="X37" s="6" t="b">
        <f t="shared" si="5"/>
        <v>1</v>
      </c>
      <c r="Y37" s="6" t="b">
        <f t="shared" si="5"/>
        <v>1</v>
      </c>
    </row>
    <row r="38" spans="2:25" ht="50.1" customHeight="1" x14ac:dyDescent="0.25">
      <c r="B38" s="13" t="str">
        <f>RegHPInd!A30</f>
        <v>6.1.3</v>
      </c>
      <c r="C38" s="19" t="str">
        <f>RegHPInd!B30</f>
        <v>Reflected on and evaluated learning environments that are responsive to community contexts</v>
      </c>
      <c r="D38" s="13" t="str">
        <f>RegHPInd!D30</f>
        <v>NCOI</v>
      </c>
      <c r="E38" s="13">
        <f>RegHPInd!E30</f>
        <v>3</v>
      </c>
      <c r="F38" s="46"/>
      <c r="G38" s="81"/>
      <c r="H38" s="261" t="b">
        <v>0</v>
      </c>
      <c r="I38" s="6" t="b">
        <f t="shared" si="3"/>
        <v>1</v>
      </c>
      <c r="J38" s="137"/>
      <c r="K38" s="137"/>
      <c r="L38" s="137"/>
      <c r="M38" s="137"/>
      <c r="N38" s="137"/>
      <c r="Q38" s="6" t="b">
        <f t="shared" si="4"/>
        <v>0</v>
      </c>
      <c r="R38" s="6" t="b">
        <f t="shared" si="4"/>
        <v>0</v>
      </c>
      <c r="S38" s="6" t="b">
        <f t="shared" si="4"/>
        <v>0</v>
      </c>
      <c r="T38" s="6" t="b">
        <f t="shared" si="4"/>
        <v>0</v>
      </c>
      <c r="U38" s="6" t="b">
        <f t="shared" si="1"/>
        <v>1</v>
      </c>
      <c r="V38" s="6" t="b">
        <f t="shared" si="5"/>
        <v>1</v>
      </c>
      <c r="W38" s="6" t="b">
        <f t="shared" si="5"/>
        <v>1</v>
      </c>
      <c r="X38" s="6" t="b">
        <f t="shared" si="5"/>
        <v>1</v>
      </c>
      <c r="Y38" s="6" t="b">
        <f t="shared" si="5"/>
        <v>1</v>
      </c>
    </row>
    <row r="39" spans="2:25" ht="50.1" customHeight="1" x14ac:dyDescent="0.25">
      <c r="B39" s="13" t="str">
        <f>RegHPInd!A31</f>
        <v>6.2.3</v>
      </c>
      <c r="C39" s="19" t="str">
        <f>RegHPInd!B31</f>
        <v>Guided colleagues to strengthen relationships with parents/ guardians and the wider school community to maximize their involvement in the educative process</v>
      </c>
      <c r="D39" s="13" t="str">
        <f>RegHPInd!D31</f>
        <v>NCOI</v>
      </c>
      <c r="E39" s="13">
        <f>RegHPInd!E31</f>
        <v>2</v>
      </c>
      <c r="F39" s="46"/>
      <c r="G39" s="81">
        <v>7.0000000000000007E-2</v>
      </c>
      <c r="H39" s="261" t="b">
        <v>1</v>
      </c>
      <c r="I39" s="6" t="b">
        <f t="shared" si="3"/>
        <v>1</v>
      </c>
      <c r="J39" s="137"/>
      <c r="K39" s="137"/>
      <c r="L39" s="137"/>
      <c r="M39" s="137"/>
      <c r="N39" s="137"/>
      <c r="Q39" s="6" t="b">
        <f t="shared" si="4"/>
        <v>0</v>
      </c>
      <c r="R39" s="6" t="b">
        <f t="shared" si="4"/>
        <v>0</v>
      </c>
      <c r="S39" s="6" t="b">
        <f t="shared" si="4"/>
        <v>0</v>
      </c>
      <c r="T39" s="6" t="b">
        <f t="shared" si="4"/>
        <v>0</v>
      </c>
      <c r="U39" s="6" t="b">
        <f t="shared" si="1"/>
        <v>1</v>
      </c>
      <c r="V39" s="6" t="b">
        <f t="shared" si="5"/>
        <v>1</v>
      </c>
      <c r="W39" s="6" t="b">
        <f t="shared" si="5"/>
        <v>1</v>
      </c>
      <c r="X39" s="6" t="b">
        <f t="shared" si="5"/>
        <v>1</v>
      </c>
      <c r="Y39" s="6" t="b">
        <f t="shared" si="5"/>
        <v>1</v>
      </c>
    </row>
    <row r="40" spans="2:25" ht="50.1" customHeight="1" x14ac:dyDescent="0.25">
      <c r="B40" s="13" t="str">
        <f>RegHPInd!A32</f>
        <v>6.3.3</v>
      </c>
      <c r="C40" s="19" t="str">
        <f>RegHPInd!B32</f>
        <v>Discussed with colleagues teaching and learning practices that apply existing codes, laws and regulations that apply to the teaching profession, and the responsibilities specified in the Code of Ethics for Professional Teachers</v>
      </c>
      <c r="D40" s="13" t="str">
        <f>RegHPInd!D32</f>
        <v>NCOI</v>
      </c>
      <c r="E40" s="13">
        <f>RegHPInd!E32</f>
        <v>3</v>
      </c>
      <c r="F40" s="46"/>
      <c r="G40" s="81"/>
      <c r="H40" s="261" t="b">
        <v>0</v>
      </c>
      <c r="I40" s="6" t="b">
        <f t="shared" si="3"/>
        <v>1</v>
      </c>
      <c r="J40" s="137"/>
      <c r="K40" s="137"/>
      <c r="L40" s="137"/>
      <c r="M40" s="137"/>
      <c r="N40" s="137"/>
      <c r="Q40" s="6" t="b">
        <f t="shared" si="4"/>
        <v>0</v>
      </c>
      <c r="R40" s="6" t="b">
        <f t="shared" si="4"/>
        <v>0</v>
      </c>
      <c r="S40" s="6" t="b">
        <f t="shared" si="4"/>
        <v>0</v>
      </c>
      <c r="T40" s="6" t="b">
        <f t="shared" si="4"/>
        <v>0</v>
      </c>
      <c r="U40" s="6" t="b">
        <f t="shared" si="1"/>
        <v>1</v>
      </c>
      <c r="V40" s="6" t="b">
        <f t="shared" si="5"/>
        <v>1</v>
      </c>
      <c r="W40" s="6" t="b">
        <f t="shared" si="5"/>
        <v>1</v>
      </c>
      <c r="X40" s="6" t="b">
        <f t="shared" si="5"/>
        <v>1</v>
      </c>
      <c r="Y40" s="6" t="b">
        <f t="shared" si="5"/>
        <v>1</v>
      </c>
    </row>
    <row r="41" spans="2:25" ht="50.1" customHeight="1" x14ac:dyDescent="0.25">
      <c r="B41" s="13" t="str">
        <f>RegHPInd!A33</f>
        <v>6.4.3</v>
      </c>
      <c r="C41" s="19" t="str">
        <f>RegHPInd!B33</f>
        <v>Exhibited commitment to and supported teachers in the implementation of school policies and procedures to foster harmonious relationships with learners, parents and other stakeholders</v>
      </c>
      <c r="D41" s="13" t="str">
        <f>RegHPInd!D33</f>
        <v>NCOI</v>
      </c>
      <c r="E41" s="13">
        <f>RegHPInd!E33</f>
        <v>3</v>
      </c>
      <c r="F41" s="46"/>
      <c r="G41" s="81"/>
      <c r="H41" s="261" t="b">
        <v>0</v>
      </c>
      <c r="I41" s="6" t="b">
        <f t="shared" si="3"/>
        <v>1</v>
      </c>
      <c r="J41" s="137"/>
      <c r="K41" s="137"/>
      <c r="L41" s="137"/>
      <c r="M41" s="137"/>
      <c r="N41" s="137"/>
      <c r="Q41" s="6" t="b">
        <f t="shared" si="4"/>
        <v>0</v>
      </c>
      <c r="R41" s="6" t="b">
        <f t="shared" si="4"/>
        <v>0</v>
      </c>
      <c r="S41" s="6" t="b">
        <f t="shared" si="4"/>
        <v>0</v>
      </c>
      <c r="T41" s="6" t="b">
        <f t="shared" si="4"/>
        <v>0</v>
      </c>
      <c r="U41" s="6" t="b">
        <f t="shared" si="1"/>
        <v>1</v>
      </c>
      <c r="V41" s="6" t="b">
        <f t="shared" si="5"/>
        <v>1</v>
      </c>
      <c r="W41" s="6" t="b">
        <f t="shared" si="5"/>
        <v>1</v>
      </c>
      <c r="X41" s="6" t="b">
        <f t="shared" si="5"/>
        <v>1</v>
      </c>
      <c r="Y41" s="6" t="b">
        <f t="shared" si="5"/>
        <v>1</v>
      </c>
    </row>
    <row r="42" spans="2:25" s="7" customFormat="1" x14ac:dyDescent="0.25">
      <c r="B42" s="347" t="s">
        <v>901</v>
      </c>
      <c r="C42" s="347"/>
      <c r="D42" s="347"/>
      <c r="E42" s="347"/>
      <c r="F42" s="348"/>
      <c r="G42" s="203"/>
      <c r="H42" s="6"/>
      <c r="I42" s="6" t="b">
        <f t="shared" si="3"/>
        <v>1</v>
      </c>
      <c r="J42" s="13"/>
      <c r="K42" s="13"/>
      <c r="L42" s="13"/>
      <c r="M42" s="13"/>
      <c r="N42" s="13"/>
      <c r="Q42" s="6" t="b">
        <f t="shared" si="4"/>
        <v>0</v>
      </c>
      <c r="R42" s="6" t="b">
        <f t="shared" si="4"/>
        <v>0</v>
      </c>
      <c r="S42" s="6" t="b">
        <f t="shared" si="4"/>
        <v>0</v>
      </c>
      <c r="T42" s="6" t="b">
        <f t="shared" si="4"/>
        <v>0</v>
      </c>
      <c r="U42" s="6" t="b">
        <f t="shared" si="1"/>
        <v>1</v>
      </c>
      <c r="V42" s="6" t="b">
        <f t="shared" si="5"/>
        <v>1</v>
      </c>
      <c r="W42" s="6" t="b">
        <f t="shared" si="5"/>
        <v>1</v>
      </c>
      <c r="X42" s="6" t="b">
        <f t="shared" si="5"/>
        <v>1</v>
      </c>
      <c r="Y42" s="6" t="b">
        <f t="shared" si="5"/>
        <v>1</v>
      </c>
    </row>
    <row r="43" spans="2:25" ht="50.1" customHeight="1" x14ac:dyDescent="0.25">
      <c r="B43" s="13" t="str">
        <f>RegHPInd!A34</f>
        <v>7.1.3</v>
      </c>
      <c r="C43" s="19" t="str">
        <f>RegHPInd!B34</f>
        <v>Manifested a learner-centered teaching philosophy in various aspects of practice and support colleagues in enhancing their own learner-centered teaching philosophy</v>
      </c>
      <c r="D43" s="13" t="str">
        <f>RegHPInd!D34</f>
        <v>NCOI</v>
      </c>
      <c r="E43" s="13">
        <f>RegHPInd!E34</f>
        <v>3</v>
      </c>
      <c r="F43" s="46"/>
      <c r="G43" s="81"/>
      <c r="H43" s="261" t="b">
        <v>0</v>
      </c>
      <c r="I43" s="6" t="b">
        <f t="shared" si="3"/>
        <v>1</v>
      </c>
      <c r="J43" s="137"/>
      <c r="K43" s="137"/>
      <c r="L43" s="137"/>
      <c r="M43" s="137"/>
      <c r="N43" s="137"/>
      <c r="Q43" s="6" t="b">
        <f t="shared" si="4"/>
        <v>0</v>
      </c>
      <c r="R43" s="6" t="b">
        <f t="shared" si="4"/>
        <v>0</v>
      </c>
      <c r="S43" s="6" t="b">
        <f t="shared" si="4"/>
        <v>0</v>
      </c>
      <c r="T43" s="6" t="b">
        <f t="shared" si="4"/>
        <v>0</v>
      </c>
      <c r="U43" s="6" t="b">
        <f t="shared" si="1"/>
        <v>1</v>
      </c>
      <c r="V43" s="6" t="b">
        <f t="shared" si="5"/>
        <v>1</v>
      </c>
      <c r="W43" s="6" t="b">
        <f t="shared" si="5"/>
        <v>1</v>
      </c>
      <c r="X43" s="6" t="b">
        <f t="shared" si="5"/>
        <v>1</v>
      </c>
      <c r="Y43" s="6" t="b">
        <f t="shared" si="5"/>
        <v>1</v>
      </c>
    </row>
    <row r="44" spans="2:25" ht="50.1" customHeight="1" x14ac:dyDescent="0.25">
      <c r="B44" s="13" t="str">
        <f>RegHPInd!A35</f>
        <v>7.2.3</v>
      </c>
      <c r="C44" s="19" t="str">
        <f>RegHPInd!B35</f>
        <v>Identified and utilized personal professional strengths to uphold the dignity of teaching as a profession to help build a positive teaching and learning culture within the school</v>
      </c>
      <c r="D44" s="13" t="str">
        <f>RegHPInd!D35</f>
        <v>NCOI</v>
      </c>
      <c r="E44" s="13">
        <f>RegHPInd!E35</f>
        <v>3</v>
      </c>
      <c r="F44" s="46"/>
      <c r="G44" s="81"/>
      <c r="H44" s="261" t="b">
        <v>0</v>
      </c>
      <c r="I44" s="6" t="b">
        <f t="shared" si="3"/>
        <v>1</v>
      </c>
      <c r="J44" s="137"/>
      <c r="K44" s="137"/>
      <c r="L44" s="137"/>
      <c r="M44" s="137"/>
      <c r="N44" s="137"/>
      <c r="Q44" s="6" t="b">
        <f t="shared" si="4"/>
        <v>0</v>
      </c>
      <c r="R44" s="6" t="b">
        <f t="shared" si="4"/>
        <v>0</v>
      </c>
      <c r="S44" s="6" t="b">
        <f t="shared" si="4"/>
        <v>0</v>
      </c>
      <c r="T44" s="6" t="b">
        <f t="shared" si="4"/>
        <v>0</v>
      </c>
      <c r="U44" s="6" t="b">
        <f t="shared" si="1"/>
        <v>1</v>
      </c>
      <c r="V44" s="6" t="b">
        <f t="shared" si="5"/>
        <v>1</v>
      </c>
      <c r="W44" s="6" t="b">
        <f t="shared" si="5"/>
        <v>1</v>
      </c>
      <c r="X44" s="6" t="b">
        <f t="shared" si="5"/>
        <v>1</v>
      </c>
      <c r="Y44" s="6" t="b">
        <f t="shared" si="5"/>
        <v>1</v>
      </c>
    </row>
    <row r="45" spans="2:25" ht="50.1" customHeight="1" x14ac:dyDescent="0.25">
      <c r="B45" s="13" t="str">
        <f>RegHPInd!A36</f>
        <v>7.3.3</v>
      </c>
      <c r="C45" s="19" t="str">
        <f>RegHPInd!B36</f>
        <v>Contributed actively to professional networks within and between schools to improve knowledge and to enhance practice</v>
      </c>
      <c r="D45" s="13" t="str">
        <f>RegHPInd!D36</f>
        <v>NCOI</v>
      </c>
      <c r="E45" s="13">
        <f>RegHPInd!E36</f>
        <v>2</v>
      </c>
      <c r="F45" s="46"/>
      <c r="G45" s="81">
        <v>7.0000000000000007E-2</v>
      </c>
      <c r="H45" s="261" t="b">
        <v>1</v>
      </c>
      <c r="I45" s="6" t="b">
        <f t="shared" si="3"/>
        <v>1</v>
      </c>
      <c r="J45" s="137"/>
      <c r="K45" s="137"/>
      <c r="L45" s="137"/>
      <c r="M45" s="137"/>
      <c r="N45" s="137"/>
      <c r="Q45" s="6" t="b">
        <f t="shared" si="4"/>
        <v>0</v>
      </c>
      <c r="R45" s="6" t="b">
        <f t="shared" si="4"/>
        <v>0</v>
      </c>
      <c r="S45" s="6" t="b">
        <f t="shared" si="4"/>
        <v>0</v>
      </c>
      <c r="T45" s="6" t="b">
        <f t="shared" si="4"/>
        <v>0</v>
      </c>
      <c r="U45" s="6" t="b">
        <f t="shared" si="1"/>
        <v>1</v>
      </c>
      <c r="V45" s="6" t="b">
        <f t="shared" si="5"/>
        <v>1</v>
      </c>
      <c r="W45" s="6" t="b">
        <f t="shared" si="5"/>
        <v>1</v>
      </c>
      <c r="X45" s="6" t="b">
        <f t="shared" si="5"/>
        <v>1</v>
      </c>
      <c r="Y45" s="6" t="b">
        <f t="shared" si="5"/>
        <v>1</v>
      </c>
    </row>
    <row r="46" spans="2:25" ht="50.1" customHeight="1" x14ac:dyDescent="0.25">
      <c r="B46" s="13" t="str">
        <f>RegHPInd!A37</f>
        <v>7.4.3</v>
      </c>
      <c r="C46" s="19" t="str">
        <f>RegHPInd!B37</f>
        <v>Initiated professional reflections and promote learning opportunities with colleagues to improve practice</v>
      </c>
      <c r="D46" s="13" t="str">
        <f>RegHPInd!D37</f>
        <v>NCOI</v>
      </c>
      <c r="E46" s="13">
        <f>RegHPInd!E37</f>
        <v>2</v>
      </c>
      <c r="F46" s="46"/>
      <c r="G46" s="81">
        <v>7.0000000000000007E-2</v>
      </c>
      <c r="H46" s="261" t="b">
        <v>1</v>
      </c>
      <c r="I46" s="6" t="b">
        <f t="shared" si="3"/>
        <v>1</v>
      </c>
      <c r="J46" s="137"/>
      <c r="K46" s="137"/>
      <c r="L46" s="137"/>
      <c r="M46" s="137"/>
      <c r="N46" s="137"/>
      <c r="Q46" s="6" t="b">
        <f t="shared" si="4"/>
        <v>0</v>
      </c>
      <c r="R46" s="6" t="b">
        <f t="shared" si="4"/>
        <v>0</v>
      </c>
      <c r="S46" s="6" t="b">
        <f t="shared" si="4"/>
        <v>0</v>
      </c>
      <c r="T46" s="6" t="b">
        <f t="shared" si="4"/>
        <v>0</v>
      </c>
      <c r="U46" s="6" t="b">
        <f t="shared" si="1"/>
        <v>1</v>
      </c>
      <c r="V46" s="6" t="b">
        <f t="shared" si="5"/>
        <v>1</v>
      </c>
      <c r="W46" s="6" t="b">
        <f t="shared" si="5"/>
        <v>1</v>
      </c>
      <c r="X46" s="6" t="b">
        <f t="shared" si="5"/>
        <v>1</v>
      </c>
      <c r="Y46" s="6" t="b">
        <f t="shared" si="5"/>
        <v>1</v>
      </c>
    </row>
    <row r="47" spans="2:25" ht="50.1" customHeight="1" x14ac:dyDescent="0.25">
      <c r="B47" s="13" t="str">
        <f>RegHPInd!A38</f>
        <v>7.5.3</v>
      </c>
      <c r="C47" s="19" t="str">
        <f>RegHPInd!B38</f>
        <v>Reflected on the Philippine Professional Standards for Teachers to plan personal professional development goals and assist colleagues in planning and achieving their own goals</v>
      </c>
      <c r="D47" s="13" t="str">
        <f>RegHPInd!D38</f>
        <v>NCOI</v>
      </c>
      <c r="E47" s="13">
        <f>RegHPInd!E38</f>
        <v>3</v>
      </c>
      <c r="F47" s="46"/>
      <c r="G47" s="81"/>
      <c r="H47" s="261" t="b">
        <v>0</v>
      </c>
      <c r="I47" s="6" t="b">
        <f t="shared" si="3"/>
        <v>1</v>
      </c>
      <c r="J47" s="137"/>
      <c r="K47" s="137"/>
      <c r="L47" s="137"/>
      <c r="M47" s="137"/>
      <c r="N47" s="137"/>
      <c r="Q47" s="6" t="b">
        <f t="shared" si="4"/>
        <v>0</v>
      </c>
      <c r="R47" s="6" t="b">
        <f t="shared" si="4"/>
        <v>0</v>
      </c>
      <c r="S47" s="6" t="b">
        <f t="shared" si="4"/>
        <v>0</v>
      </c>
      <c r="T47" s="6" t="b">
        <f t="shared" si="4"/>
        <v>0</v>
      </c>
      <c r="U47" s="6" t="b">
        <f t="shared" si="1"/>
        <v>1</v>
      </c>
      <c r="V47" s="6" t="b">
        <f t="shared" si="5"/>
        <v>1</v>
      </c>
      <c r="W47" s="6" t="b">
        <f t="shared" si="5"/>
        <v>1</v>
      </c>
      <c r="X47" s="6" t="b">
        <f t="shared" si="5"/>
        <v>1</v>
      </c>
      <c r="Y47" s="6" t="b">
        <f t="shared" si="5"/>
        <v>1</v>
      </c>
    </row>
    <row r="48" spans="2:25" s="7" customFormat="1" x14ac:dyDescent="0.25">
      <c r="B48" s="347" t="s">
        <v>902</v>
      </c>
      <c r="C48" s="349"/>
      <c r="D48" s="350"/>
      <c r="E48" s="350"/>
      <c r="F48" s="349"/>
      <c r="G48" s="203"/>
      <c r="H48" s="6"/>
      <c r="I48" s="6" t="b">
        <f t="shared" si="3"/>
        <v>1</v>
      </c>
      <c r="J48" s="13"/>
      <c r="K48" s="13"/>
      <c r="L48" s="13"/>
      <c r="M48" s="13"/>
      <c r="N48" s="13"/>
      <c r="Q48" s="6" t="b">
        <f t="shared" si="4"/>
        <v>0</v>
      </c>
      <c r="R48" s="6" t="b">
        <f t="shared" si="4"/>
        <v>0</v>
      </c>
      <c r="S48" s="6" t="b">
        <f t="shared" si="4"/>
        <v>0</v>
      </c>
      <c r="T48" s="6" t="b">
        <f t="shared" si="4"/>
        <v>0</v>
      </c>
      <c r="U48" s="6" t="b">
        <f t="shared" si="1"/>
        <v>1</v>
      </c>
      <c r="V48" s="6" t="b">
        <f t="shared" si="5"/>
        <v>1</v>
      </c>
      <c r="W48" s="6" t="b">
        <f t="shared" si="5"/>
        <v>1</v>
      </c>
      <c r="X48" s="6" t="b">
        <f t="shared" si="5"/>
        <v>1</v>
      </c>
      <c r="Y48" s="6" t="b">
        <f t="shared" si="5"/>
        <v>1</v>
      </c>
    </row>
    <row r="49" spans="2:25" ht="50.1" customHeight="1" x14ac:dyDescent="0.25">
      <c r="B49" s="13">
        <v>15</v>
      </c>
      <c r="C49" s="18" t="str">
        <f>RegHPInd!B39</f>
        <v>Performed various related works/activities that contribute to the teaching-learning process</v>
      </c>
      <c r="D49" s="13" t="str">
        <f>RegPInd!D39</f>
        <v>NCOI</v>
      </c>
      <c r="E49" s="13">
        <f>RegPInd!E39</f>
        <v>3</v>
      </c>
      <c r="F49" s="46"/>
      <c r="G49" s="81">
        <v>0.02</v>
      </c>
      <c r="H49" s="6" t="b">
        <v>1</v>
      </c>
      <c r="I49" s="6" t="b">
        <f t="shared" si="3"/>
        <v>1</v>
      </c>
      <c r="J49" s="137"/>
      <c r="K49" s="137"/>
      <c r="L49" s="137"/>
      <c r="M49" s="137"/>
      <c r="N49" s="137"/>
      <c r="Q49" s="6" t="b">
        <f t="shared" si="4"/>
        <v>0</v>
      </c>
      <c r="R49" s="6" t="b">
        <f t="shared" si="4"/>
        <v>0</v>
      </c>
      <c r="S49" s="6" t="b">
        <f t="shared" si="4"/>
        <v>0</v>
      </c>
      <c r="T49" s="6" t="b">
        <f t="shared" si="4"/>
        <v>0</v>
      </c>
      <c r="U49" s="6" t="b">
        <f t="shared" si="1"/>
        <v>1</v>
      </c>
      <c r="V49" s="6" t="b">
        <f t="shared" si="5"/>
        <v>1</v>
      </c>
      <c r="W49" s="6" t="b">
        <f t="shared" si="5"/>
        <v>1</v>
      </c>
      <c r="X49" s="6" t="b">
        <f t="shared" si="5"/>
        <v>1</v>
      </c>
      <c r="Y49" s="6" t="b">
        <f t="shared" si="5"/>
        <v>1</v>
      </c>
    </row>
    <row r="50" spans="2:25" ht="30" x14ac:dyDescent="0.25">
      <c r="F50" s="202" t="s">
        <v>903</v>
      </c>
      <c r="G50" s="82" t="s">
        <v>904</v>
      </c>
      <c r="K50" s="6">
        <f>SUM(K4:K49)</f>
        <v>5</v>
      </c>
      <c r="L50" s="6">
        <f t="shared" ref="L50:N50" si="6">SUM(L4:L49)</f>
        <v>5</v>
      </c>
      <c r="M50" s="6">
        <f t="shared" si="6"/>
        <v>5</v>
      </c>
      <c r="N50" s="6">
        <f t="shared" si="6"/>
        <v>5</v>
      </c>
    </row>
    <row r="51" spans="2:25" x14ac:dyDescent="0.25">
      <c r="F51" s="79">
        <f>COUNTIF(H5:H49,TRUE)</f>
        <v>15</v>
      </c>
      <c r="G51" s="82">
        <f>SUM(G4:G49)</f>
        <v>1.0000000000000004</v>
      </c>
      <c r="I51" s="202" t="b">
        <f>AND(I4:I49,indCount_RHP&gt;1,indWeight_RHP=1,Q51:V51)</f>
        <v>1</v>
      </c>
      <c r="K51" s="6"/>
      <c r="L51" s="6"/>
      <c r="M51" s="6"/>
      <c r="N51" s="6"/>
      <c r="Q51" s="4" t="b">
        <f>IF(Q3,K50&gt;0,K50=0)</f>
        <v>1</v>
      </c>
      <c r="R51" s="4" t="b">
        <f t="shared" ref="R51:T51" si="7">IF(R3,L50&gt;0,L50=0)</f>
        <v>1</v>
      </c>
      <c r="S51" s="4" t="b">
        <f t="shared" si="7"/>
        <v>1</v>
      </c>
      <c r="T51" s="4" t="b">
        <f t="shared" si="7"/>
        <v>1</v>
      </c>
      <c r="U51" s="4" t="b">
        <f>AND(U4:U49)</f>
        <v>1</v>
      </c>
      <c r="V51" s="4" t="b">
        <f>AND(V4:Y49)</f>
        <v>1</v>
      </c>
    </row>
  </sheetData>
  <sheetProtection algorithmName="SHA-512" hashValue="qDOZrAbigQF5cHAD4ecrgT/ZyMxzEUvhwRTcDcCBUgPPR+0QPcWz8gzRJ1Xg2WYRubgPoWk8J60FoaYLVOmptQ==" saltValue="1bhGMbQUG9kWHqbNeZF+7g==" spinCount="100000" sheet="1" objects="1" scenarios="1" selectLockedCells="1"/>
  <mergeCells count="2">
    <mergeCell ref="B1:G1"/>
    <mergeCell ref="B2:G2"/>
  </mergeCells>
  <conditionalFormatting sqref="B5:F49">
    <cfRule type="expression" dxfId="243" priority="14" stopIfTrue="1">
      <formula>AND(NOT(ISBLANK($H5)),$H5)</formula>
    </cfRule>
  </conditionalFormatting>
  <conditionalFormatting sqref="A1:XFD1048576">
    <cfRule type="expression" dxfId="242" priority="15">
      <formula>TRUE</formula>
    </cfRule>
  </conditionalFormatting>
  <conditionalFormatting sqref="G5:G49">
    <cfRule type="expression" dxfId="241" priority="13" stopIfTrue="1">
      <formula>AND(NOT(ISBLANK($H5)),$H5)</formula>
    </cfRule>
  </conditionalFormatting>
  <conditionalFormatting sqref="B4:N49">
    <cfRule type="expression" dxfId="240" priority="12">
      <formula>ISBLANK($H4)</formula>
    </cfRule>
  </conditionalFormatting>
  <conditionalFormatting sqref="G51">
    <cfRule type="cellIs" dxfId="239" priority="9" operator="notEqual">
      <formula>1</formula>
    </cfRule>
  </conditionalFormatting>
  <conditionalFormatting sqref="G4:G49">
    <cfRule type="expression" dxfId="238" priority="10">
      <formula>AND(NOT(ISBLANK($H4)),$H4,OR(ISBLANK($G4),$G4=0))</formula>
    </cfRule>
  </conditionalFormatting>
  <conditionalFormatting sqref="J4:J49 Z4:GJ49">
    <cfRule type="expression" dxfId="237" priority="6">
      <formula>AND(D4="COI/NCOI",$H4,OR(ISBLANK($J4),$J4=0))</formula>
    </cfRule>
  </conditionalFormatting>
  <conditionalFormatting sqref="J4:J49">
    <cfRule type="expression" dxfId="236" priority="7" stopIfTrue="1">
      <formula>AND($D4="COI/NCOI",$H4)</formula>
    </cfRule>
  </conditionalFormatting>
  <conditionalFormatting sqref="G4:J49">
    <cfRule type="expression" dxfId="235" priority="11" stopIfTrue="1">
      <formula>AND(NOT($H4),OR(NOT(ISBLANK($G4)),NOT(ISBLANK($J4))))</formula>
    </cfRule>
  </conditionalFormatting>
  <conditionalFormatting sqref="K4:N49">
    <cfRule type="expression" dxfId="234" priority="1">
      <formula>AND(Q4,NOT(V4))</formula>
    </cfRule>
    <cfRule type="expression" dxfId="233" priority="2" stopIfTrue="1">
      <formula>AND(NOT(V4),NOT(Q4))</formula>
    </cfRule>
    <cfRule type="expression" dxfId="232" priority="3">
      <formula>Q4</formula>
    </cfRule>
  </conditionalFormatting>
  <dataValidations count="3">
    <dataValidation type="decimal" allowBlank="1" showErrorMessage="1" errorTitle="Invalid Input" error="Range is between 0% and 100%." sqref="G5:G49" xr:uid="{D685088C-CE91-B643-810F-108BFA776153}">
      <formula1>0</formula1>
      <formula2>1</formula2>
    </dataValidation>
    <dataValidation type="list" allowBlank="1" showInputMessage="1" showErrorMessage="1" sqref="J4:J49" xr:uid="{6D7E6BED-23A5-D444-B994-AFB136FE6A03}">
      <formula1>IF(AND(H4,D4="COI/NCOI"),INDIRECT("admin_coi_ncoi"),IF(AND(H4,D4="COI"),INDIRECT("admin_coi"),IF(AND(H4,D4="NCOI"),INDIRECT("admin_ncoi"),Z100)))</formula1>
    </dataValidation>
    <dataValidation type="whole" allowBlank="1" showInputMessage="1" showErrorMessage="1" sqref="K4:N49" xr:uid="{E3009555-7558-9743-9714-3A629AB719F2}">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Check Box 1">
              <controlPr defaultSize="0" autoFill="0" autoLine="0" autoPict="0">
                <anchor moveWithCells="1">
                  <from>
                    <xdr:col>5</xdr:col>
                    <xdr:colOff>161925</xdr:colOff>
                    <xdr:row>4</xdr:row>
                    <xdr:rowOff>200025</xdr:rowOff>
                  </from>
                  <to>
                    <xdr:col>5</xdr:col>
                    <xdr:colOff>447675</xdr:colOff>
                    <xdr:row>4</xdr:row>
                    <xdr:rowOff>457200</xdr:rowOff>
                  </to>
                </anchor>
              </controlPr>
            </control>
          </mc:Choice>
        </mc:AlternateContent>
        <mc:AlternateContent xmlns:mc="http://schemas.openxmlformats.org/markup-compatibility/2006">
          <mc:Choice Requires="x14">
            <control shapeId="107522" r:id="rId5" name="Check Box 2">
              <controlPr defaultSize="0" autoFill="0" autoLine="0" autoPict="0">
                <anchor moveWithCells="1">
                  <from>
                    <xdr:col>5</xdr:col>
                    <xdr:colOff>161925</xdr:colOff>
                    <xdr:row>5</xdr:row>
                    <xdr:rowOff>200025</xdr:rowOff>
                  </from>
                  <to>
                    <xdr:col>5</xdr:col>
                    <xdr:colOff>447675</xdr:colOff>
                    <xdr:row>5</xdr:row>
                    <xdr:rowOff>457200</xdr:rowOff>
                  </to>
                </anchor>
              </controlPr>
            </control>
          </mc:Choice>
        </mc:AlternateContent>
        <mc:AlternateContent xmlns:mc="http://schemas.openxmlformats.org/markup-compatibility/2006">
          <mc:Choice Requires="x14">
            <control shapeId="107523" r:id="rId6" name="Check Box 3">
              <controlPr defaultSize="0" autoFill="0" autoLine="0" autoPict="0">
                <anchor moveWithCells="1">
                  <from>
                    <xdr:col>5</xdr:col>
                    <xdr:colOff>161925</xdr:colOff>
                    <xdr:row>6</xdr:row>
                    <xdr:rowOff>200025</xdr:rowOff>
                  </from>
                  <to>
                    <xdr:col>5</xdr:col>
                    <xdr:colOff>447675</xdr:colOff>
                    <xdr:row>6</xdr:row>
                    <xdr:rowOff>457200</xdr:rowOff>
                  </to>
                </anchor>
              </controlPr>
            </control>
          </mc:Choice>
        </mc:AlternateContent>
        <mc:AlternateContent xmlns:mc="http://schemas.openxmlformats.org/markup-compatibility/2006">
          <mc:Choice Requires="x14">
            <control shapeId="107524" r:id="rId7" name="Check Box 4">
              <controlPr defaultSize="0" autoFill="0" autoLine="0" autoPict="0">
                <anchor moveWithCells="1">
                  <from>
                    <xdr:col>5</xdr:col>
                    <xdr:colOff>161925</xdr:colOff>
                    <xdr:row>7</xdr:row>
                    <xdr:rowOff>200025</xdr:rowOff>
                  </from>
                  <to>
                    <xdr:col>5</xdr:col>
                    <xdr:colOff>447675</xdr:colOff>
                    <xdr:row>7</xdr:row>
                    <xdr:rowOff>457200</xdr:rowOff>
                  </to>
                </anchor>
              </controlPr>
            </control>
          </mc:Choice>
        </mc:AlternateContent>
        <mc:AlternateContent xmlns:mc="http://schemas.openxmlformats.org/markup-compatibility/2006">
          <mc:Choice Requires="x14">
            <control shapeId="107525" r:id="rId8" name="Check Box 5">
              <controlPr defaultSize="0" autoFill="0" autoLine="0" autoPict="0">
                <anchor moveWithCells="1">
                  <from>
                    <xdr:col>5</xdr:col>
                    <xdr:colOff>161925</xdr:colOff>
                    <xdr:row>8</xdr:row>
                    <xdr:rowOff>200025</xdr:rowOff>
                  </from>
                  <to>
                    <xdr:col>5</xdr:col>
                    <xdr:colOff>447675</xdr:colOff>
                    <xdr:row>8</xdr:row>
                    <xdr:rowOff>457200</xdr:rowOff>
                  </to>
                </anchor>
              </controlPr>
            </control>
          </mc:Choice>
        </mc:AlternateContent>
        <mc:AlternateContent xmlns:mc="http://schemas.openxmlformats.org/markup-compatibility/2006">
          <mc:Choice Requires="x14">
            <control shapeId="107526" r:id="rId9" name="Check Box 6">
              <controlPr defaultSize="0" autoFill="0" autoLine="0" autoPict="0">
                <anchor moveWithCells="1">
                  <from>
                    <xdr:col>5</xdr:col>
                    <xdr:colOff>161925</xdr:colOff>
                    <xdr:row>9</xdr:row>
                    <xdr:rowOff>200025</xdr:rowOff>
                  </from>
                  <to>
                    <xdr:col>5</xdr:col>
                    <xdr:colOff>447675</xdr:colOff>
                    <xdr:row>9</xdr:row>
                    <xdr:rowOff>457200</xdr:rowOff>
                  </to>
                </anchor>
              </controlPr>
            </control>
          </mc:Choice>
        </mc:AlternateContent>
        <mc:AlternateContent xmlns:mc="http://schemas.openxmlformats.org/markup-compatibility/2006">
          <mc:Choice Requires="x14">
            <control shapeId="107527" r:id="rId10" name="Check Box 7">
              <controlPr defaultSize="0" autoFill="0" autoLine="0" autoPict="0">
                <anchor moveWithCells="1">
                  <from>
                    <xdr:col>5</xdr:col>
                    <xdr:colOff>161925</xdr:colOff>
                    <xdr:row>10</xdr:row>
                    <xdr:rowOff>200025</xdr:rowOff>
                  </from>
                  <to>
                    <xdr:col>5</xdr:col>
                    <xdr:colOff>447675</xdr:colOff>
                    <xdr:row>10</xdr:row>
                    <xdr:rowOff>457200</xdr:rowOff>
                  </to>
                </anchor>
              </controlPr>
            </control>
          </mc:Choice>
        </mc:AlternateContent>
        <mc:AlternateContent xmlns:mc="http://schemas.openxmlformats.org/markup-compatibility/2006">
          <mc:Choice Requires="x14">
            <control shapeId="107528" r:id="rId11" name="Check Box 8">
              <controlPr defaultSize="0" autoFill="0" autoLine="0" autoPict="0">
                <anchor moveWithCells="1">
                  <from>
                    <xdr:col>5</xdr:col>
                    <xdr:colOff>161925</xdr:colOff>
                    <xdr:row>12</xdr:row>
                    <xdr:rowOff>200025</xdr:rowOff>
                  </from>
                  <to>
                    <xdr:col>5</xdr:col>
                    <xdr:colOff>447675</xdr:colOff>
                    <xdr:row>12</xdr:row>
                    <xdr:rowOff>457200</xdr:rowOff>
                  </to>
                </anchor>
              </controlPr>
            </control>
          </mc:Choice>
        </mc:AlternateContent>
        <mc:AlternateContent xmlns:mc="http://schemas.openxmlformats.org/markup-compatibility/2006">
          <mc:Choice Requires="x14">
            <control shapeId="107529" r:id="rId12" name="Check Box 9">
              <controlPr defaultSize="0" autoFill="0" autoLine="0" autoPict="0">
                <anchor moveWithCells="1">
                  <from>
                    <xdr:col>5</xdr:col>
                    <xdr:colOff>161925</xdr:colOff>
                    <xdr:row>13</xdr:row>
                    <xdr:rowOff>200025</xdr:rowOff>
                  </from>
                  <to>
                    <xdr:col>5</xdr:col>
                    <xdr:colOff>447675</xdr:colOff>
                    <xdr:row>13</xdr:row>
                    <xdr:rowOff>457200</xdr:rowOff>
                  </to>
                </anchor>
              </controlPr>
            </control>
          </mc:Choice>
        </mc:AlternateContent>
        <mc:AlternateContent xmlns:mc="http://schemas.openxmlformats.org/markup-compatibility/2006">
          <mc:Choice Requires="x14">
            <control shapeId="107530" r:id="rId13" name="Check Box 10">
              <controlPr defaultSize="0" autoFill="0" autoLine="0" autoPict="0">
                <anchor moveWithCells="1">
                  <from>
                    <xdr:col>5</xdr:col>
                    <xdr:colOff>161925</xdr:colOff>
                    <xdr:row>14</xdr:row>
                    <xdr:rowOff>200025</xdr:rowOff>
                  </from>
                  <to>
                    <xdr:col>5</xdr:col>
                    <xdr:colOff>447675</xdr:colOff>
                    <xdr:row>14</xdr:row>
                    <xdr:rowOff>457200</xdr:rowOff>
                  </to>
                </anchor>
              </controlPr>
            </control>
          </mc:Choice>
        </mc:AlternateContent>
        <mc:AlternateContent xmlns:mc="http://schemas.openxmlformats.org/markup-compatibility/2006">
          <mc:Choice Requires="x14">
            <control shapeId="107531" r:id="rId14" name="Check Box 11">
              <controlPr defaultSize="0" autoFill="0" autoLine="0" autoPict="0">
                <anchor moveWithCells="1">
                  <from>
                    <xdr:col>5</xdr:col>
                    <xdr:colOff>161925</xdr:colOff>
                    <xdr:row>15</xdr:row>
                    <xdr:rowOff>200025</xdr:rowOff>
                  </from>
                  <to>
                    <xdr:col>5</xdr:col>
                    <xdr:colOff>447675</xdr:colOff>
                    <xdr:row>15</xdr:row>
                    <xdr:rowOff>457200</xdr:rowOff>
                  </to>
                </anchor>
              </controlPr>
            </control>
          </mc:Choice>
        </mc:AlternateContent>
        <mc:AlternateContent xmlns:mc="http://schemas.openxmlformats.org/markup-compatibility/2006">
          <mc:Choice Requires="x14">
            <control shapeId="107532" r:id="rId15" name="Check Box 12">
              <controlPr defaultSize="0" autoFill="0" autoLine="0" autoPict="0">
                <anchor moveWithCells="1">
                  <from>
                    <xdr:col>5</xdr:col>
                    <xdr:colOff>161925</xdr:colOff>
                    <xdr:row>16</xdr:row>
                    <xdr:rowOff>200025</xdr:rowOff>
                  </from>
                  <to>
                    <xdr:col>5</xdr:col>
                    <xdr:colOff>447675</xdr:colOff>
                    <xdr:row>16</xdr:row>
                    <xdr:rowOff>457200</xdr:rowOff>
                  </to>
                </anchor>
              </controlPr>
            </control>
          </mc:Choice>
        </mc:AlternateContent>
        <mc:AlternateContent xmlns:mc="http://schemas.openxmlformats.org/markup-compatibility/2006">
          <mc:Choice Requires="x14">
            <control shapeId="107533" r:id="rId16" name="Check Box 13">
              <controlPr defaultSize="0" autoFill="0" autoLine="0" autoPict="0">
                <anchor moveWithCells="1">
                  <from>
                    <xdr:col>5</xdr:col>
                    <xdr:colOff>161925</xdr:colOff>
                    <xdr:row>17</xdr:row>
                    <xdr:rowOff>200025</xdr:rowOff>
                  </from>
                  <to>
                    <xdr:col>5</xdr:col>
                    <xdr:colOff>447675</xdr:colOff>
                    <xdr:row>17</xdr:row>
                    <xdr:rowOff>457200</xdr:rowOff>
                  </to>
                </anchor>
              </controlPr>
            </control>
          </mc:Choice>
        </mc:AlternateContent>
        <mc:AlternateContent xmlns:mc="http://schemas.openxmlformats.org/markup-compatibility/2006">
          <mc:Choice Requires="x14">
            <control shapeId="107534" r:id="rId17" name="Check Box 14">
              <controlPr defaultSize="0" autoFill="0" autoLine="0" autoPict="0">
                <anchor moveWithCells="1">
                  <from>
                    <xdr:col>5</xdr:col>
                    <xdr:colOff>161925</xdr:colOff>
                    <xdr:row>19</xdr:row>
                    <xdr:rowOff>200025</xdr:rowOff>
                  </from>
                  <to>
                    <xdr:col>5</xdr:col>
                    <xdr:colOff>447675</xdr:colOff>
                    <xdr:row>19</xdr:row>
                    <xdr:rowOff>457200</xdr:rowOff>
                  </to>
                </anchor>
              </controlPr>
            </control>
          </mc:Choice>
        </mc:AlternateContent>
        <mc:AlternateContent xmlns:mc="http://schemas.openxmlformats.org/markup-compatibility/2006">
          <mc:Choice Requires="x14">
            <control shapeId="107535" r:id="rId18" name="Check Box 15">
              <controlPr defaultSize="0" autoFill="0" autoLine="0" autoPict="0">
                <anchor moveWithCells="1">
                  <from>
                    <xdr:col>5</xdr:col>
                    <xdr:colOff>161925</xdr:colOff>
                    <xdr:row>20</xdr:row>
                    <xdr:rowOff>200025</xdr:rowOff>
                  </from>
                  <to>
                    <xdr:col>5</xdr:col>
                    <xdr:colOff>447675</xdr:colOff>
                    <xdr:row>20</xdr:row>
                    <xdr:rowOff>457200</xdr:rowOff>
                  </to>
                </anchor>
              </controlPr>
            </control>
          </mc:Choice>
        </mc:AlternateContent>
        <mc:AlternateContent xmlns:mc="http://schemas.openxmlformats.org/markup-compatibility/2006">
          <mc:Choice Requires="x14">
            <control shapeId="107536" r:id="rId19" name="Check Box 16">
              <controlPr defaultSize="0" autoFill="0" autoLine="0" autoPict="0">
                <anchor moveWithCells="1">
                  <from>
                    <xdr:col>5</xdr:col>
                    <xdr:colOff>161925</xdr:colOff>
                    <xdr:row>21</xdr:row>
                    <xdr:rowOff>200025</xdr:rowOff>
                  </from>
                  <to>
                    <xdr:col>5</xdr:col>
                    <xdr:colOff>447675</xdr:colOff>
                    <xdr:row>21</xdr:row>
                    <xdr:rowOff>457200</xdr:rowOff>
                  </to>
                </anchor>
              </controlPr>
            </control>
          </mc:Choice>
        </mc:AlternateContent>
        <mc:AlternateContent xmlns:mc="http://schemas.openxmlformats.org/markup-compatibility/2006">
          <mc:Choice Requires="x14">
            <control shapeId="107537" r:id="rId20" name="Check Box 17">
              <controlPr defaultSize="0" autoFill="0" autoLine="0" autoPict="0">
                <anchor moveWithCells="1">
                  <from>
                    <xdr:col>5</xdr:col>
                    <xdr:colOff>161925</xdr:colOff>
                    <xdr:row>22</xdr:row>
                    <xdr:rowOff>200025</xdr:rowOff>
                  </from>
                  <to>
                    <xdr:col>5</xdr:col>
                    <xdr:colOff>447675</xdr:colOff>
                    <xdr:row>22</xdr:row>
                    <xdr:rowOff>457200</xdr:rowOff>
                  </to>
                </anchor>
              </controlPr>
            </control>
          </mc:Choice>
        </mc:AlternateContent>
        <mc:AlternateContent xmlns:mc="http://schemas.openxmlformats.org/markup-compatibility/2006">
          <mc:Choice Requires="x14">
            <control shapeId="107538" r:id="rId21" name="Check Box 18">
              <controlPr defaultSize="0" autoFill="0" autoLine="0" autoPict="0">
                <anchor moveWithCells="1">
                  <from>
                    <xdr:col>5</xdr:col>
                    <xdr:colOff>161925</xdr:colOff>
                    <xdr:row>23</xdr:row>
                    <xdr:rowOff>200025</xdr:rowOff>
                  </from>
                  <to>
                    <xdr:col>5</xdr:col>
                    <xdr:colOff>447675</xdr:colOff>
                    <xdr:row>23</xdr:row>
                    <xdr:rowOff>457200</xdr:rowOff>
                  </to>
                </anchor>
              </controlPr>
            </control>
          </mc:Choice>
        </mc:AlternateContent>
        <mc:AlternateContent xmlns:mc="http://schemas.openxmlformats.org/markup-compatibility/2006">
          <mc:Choice Requires="x14">
            <control shapeId="107539" r:id="rId22" name="Check Box 19">
              <controlPr defaultSize="0" autoFill="0" autoLine="0" autoPict="0">
                <anchor moveWithCells="1">
                  <from>
                    <xdr:col>5</xdr:col>
                    <xdr:colOff>161925</xdr:colOff>
                    <xdr:row>25</xdr:row>
                    <xdr:rowOff>200025</xdr:rowOff>
                  </from>
                  <to>
                    <xdr:col>5</xdr:col>
                    <xdr:colOff>447675</xdr:colOff>
                    <xdr:row>25</xdr:row>
                    <xdr:rowOff>457200</xdr:rowOff>
                  </to>
                </anchor>
              </controlPr>
            </control>
          </mc:Choice>
        </mc:AlternateContent>
        <mc:AlternateContent xmlns:mc="http://schemas.openxmlformats.org/markup-compatibility/2006">
          <mc:Choice Requires="x14">
            <control shapeId="107540" r:id="rId23" name="Check Box 20">
              <controlPr defaultSize="0" autoFill="0" autoLine="0" autoPict="0">
                <anchor moveWithCells="1">
                  <from>
                    <xdr:col>5</xdr:col>
                    <xdr:colOff>161925</xdr:colOff>
                    <xdr:row>26</xdr:row>
                    <xdr:rowOff>200025</xdr:rowOff>
                  </from>
                  <to>
                    <xdr:col>5</xdr:col>
                    <xdr:colOff>447675</xdr:colOff>
                    <xdr:row>26</xdr:row>
                    <xdr:rowOff>457200</xdr:rowOff>
                  </to>
                </anchor>
              </controlPr>
            </control>
          </mc:Choice>
        </mc:AlternateContent>
        <mc:AlternateContent xmlns:mc="http://schemas.openxmlformats.org/markup-compatibility/2006">
          <mc:Choice Requires="x14">
            <control shapeId="107541" r:id="rId24" name="Check Box 21">
              <controlPr defaultSize="0" autoFill="0" autoLine="0" autoPict="0">
                <anchor moveWithCells="1">
                  <from>
                    <xdr:col>5</xdr:col>
                    <xdr:colOff>161925</xdr:colOff>
                    <xdr:row>27</xdr:row>
                    <xdr:rowOff>200025</xdr:rowOff>
                  </from>
                  <to>
                    <xdr:col>5</xdr:col>
                    <xdr:colOff>447675</xdr:colOff>
                    <xdr:row>27</xdr:row>
                    <xdr:rowOff>457200</xdr:rowOff>
                  </to>
                </anchor>
              </controlPr>
            </control>
          </mc:Choice>
        </mc:AlternateContent>
        <mc:AlternateContent xmlns:mc="http://schemas.openxmlformats.org/markup-compatibility/2006">
          <mc:Choice Requires="x14">
            <control shapeId="107542" r:id="rId25" name="Check Box 22">
              <controlPr defaultSize="0" autoFill="0" autoLine="0" autoPict="0">
                <anchor moveWithCells="1">
                  <from>
                    <xdr:col>5</xdr:col>
                    <xdr:colOff>161925</xdr:colOff>
                    <xdr:row>28</xdr:row>
                    <xdr:rowOff>200025</xdr:rowOff>
                  </from>
                  <to>
                    <xdr:col>5</xdr:col>
                    <xdr:colOff>447675</xdr:colOff>
                    <xdr:row>28</xdr:row>
                    <xdr:rowOff>457200</xdr:rowOff>
                  </to>
                </anchor>
              </controlPr>
            </control>
          </mc:Choice>
        </mc:AlternateContent>
        <mc:AlternateContent xmlns:mc="http://schemas.openxmlformats.org/markup-compatibility/2006">
          <mc:Choice Requires="x14">
            <control shapeId="107543" r:id="rId26" name="Check Box 23">
              <controlPr defaultSize="0" autoFill="0" autoLine="0" autoPict="0">
                <anchor moveWithCells="1">
                  <from>
                    <xdr:col>5</xdr:col>
                    <xdr:colOff>161925</xdr:colOff>
                    <xdr:row>29</xdr:row>
                    <xdr:rowOff>200025</xdr:rowOff>
                  </from>
                  <to>
                    <xdr:col>5</xdr:col>
                    <xdr:colOff>447675</xdr:colOff>
                    <xdr:row>29</xdr:row>
                    <xdr:rowOff>457200</xdr:rowOff>
                  </to>
                </anchor>
              </controlPr>
            </control>
          </mc:Choice>
        </mc:AlternateContent>
        <mc:AlternateContent xmlns:mc="http://schemas.openxmlformats.org/markup-compatibility/2006">
          <mc:Choice Requires="x14">
            <control shapeId="107544" r:id="rId27" name="Check Box 24">
              <controlPr defaultSize="0" autoFill="0" autoLine="0" autoPict="0">
                <anchor moveWithCells="1">
                  <from>
                    <xdr:col>5</xdr:col>
                    <xdr:colOff>161925</xdr:colOff>
                    <xdr:row>31</xdr:row>
                    <xdr:rowOff>200025</xdr:rowOff>
                  </from>
                  <to>
                    <xdr:col>5</xdr:col>
                    <xdr:colOff>447675</xdr:colOff>
                    <xdr:row>31</xdr:row>
                    <xdr:rowOff>457200</xdr:rowOff>
                  </to>
                </anchor>
              </controlPr>
            </control>
          </mc:Choice>
        </mc:AlternateContent>
        <mc:AlternateContent xmlns:mc="http://schemas.openxmlformats.org/markup-compatibility/2006">
          <mc:Choice Requires="x14">
            <control shapeId="107545" r:id="rId28" name="Check Box 25">
              <controlPr defaultSize="0" autoFill="0" autoLine="0" autoPict="0">
                <anchor moveWithCells="1">
                  <from>
                    <xdr:col>5</xdr:col>
                    <xdr:colOff>161925</xdr:colOff>
                    <xdr:row>32</xdr:row>
                    <xdr:rowOff>200025</xdr:rowOff>
                  </from>
                  <to>
                    <xdr:col>5</xdr:col>
                    <xdr:colOff>447675</xdr:colOff>
                    <xdr:row>32</xdr:row>
                    <xdr:rowOff>457200</xdr:rowOff>
                  </to>
                </anchor>
              </controlPr>
            </control>
          </mc:Choice>
        </mc:AlternateContent>
        <mc:AlternateContent xmlns:mc="http://schemas.openxmlformats.org/markup-compatibility/2006">
          <mc:Choice Requires="x14">
            <control shapeId="107546" r:id="rId29" name="Check Box 26">
              <controlPr defaultSize="0" autoFill="0" autoLine="0" autoPict="0">
                <anchor moveWithCells="1">
                  <from>
                    <xdr:col>5</xdr:col>
                    <xdr:colOff>161925</xdr:colOff>
                    <xdr:row>33</xdr:row>
                    <xdr:rowOff>200025</xdr:rowOff>
                  </from>
                  <to>
                    <xdr:col>5</xdr:col>
                    <xdr:colOff>447675</xdr:colOff>
                    <xdr:row>33</xdr:row>
                    <xdr:rowOff>457200</xdr:rowOff>
                  </to>
                </anchor>
              </controlPr>
            </control>
          </mc:Choice>
        </mc:AlternateContent>
        <mc:AlternateContent xmlns:mc="http://schemas.openxmlformats.org/markup-compatibility/2006">
          <mc:Choice Requires="x14">
            <control shapeId="107547" r:id="rId30" name="Check Box 27">
              <controlPr defaultSize="0" autoFill="0" autoLine="0" autoPict="0">
                <anchor moveWithCells="1">
                  <from>
                    <xdr:col>5</xdr:col>
                    <xdr:colOff>161925</xdr:colOff>
                    <xdr:row>34</xdr:row>
                    <xdr:rowOff>200025</xdr:rowOff>
                  </from>
                  <to>
                    <xdr:col>5</xdr:col>
                    <xdr:colOff>447675</xdr:colOff>
                    <xdr:row>34</xdr:row>
                    <xdr:rowOff>457200</xdr:rowOff>
                  </to>
                </anchor>
              </controlPr>
            </control>
          </mc:Choice>
        </mc:AlternateContent>
        <mc:AlternateContent xmlns:mc="http://schemas.openxmlformats.org/markup-compatibility/2006">
          <mc:Choice Requires="x14">
            <control shapeId="107548" r:id="rId31" name="Check Box 28">
              <controlPr defaultSize="0" autoFill="0" autoLine="0" autoPict="0">
                <anchor moveWithCells="1">
                  <from>
                    <xdr:col>5</xdr:col>
                    <xdr:colOff>161925</xdr:colOff>
                    <xdr:row>35</xdr:row>
                    <xdr:rowOff>200025</xdr:rowOff>
                  </from>
                  <to>
                    <xdr:col>5</xdr:col>
                    <xdr:colOff>447675</xdr:colOff>
                    <xdr:row>35</xdr:row>
                    <xdr:rowOff>457200</xdr:rowOff>
                  </to>
                </anchor>
              </controlPr>
            </control>
          </mc:Choice>
        </mc:AlternateContent>
        <mc:AlternateContent xmlns:mc="http://schemas.openxmlformats.org/markup-compatibility/2006">
          <mc:Choice Requires="x14">
            <control shapeId="107549" r:id="rId32" name="Check Box 29">
              <controlPr defaultSize="0" autoFill="0" autoLine="0" autoPict="0">
                <anchor moveWithCells="1">
                  <from>
                    <xdr:col>5</xdr:col>
                    <xdr:colOff>161925</xdr:colOff>
                    <xdr:row>37</xdr:row>
                    <xdr:rowOff>200025</xdr:rowOff>
                  </from>
                  <to>
                    <xdr:col>5</xdr:col>
                    <xdr:colOff>447675</xdr:colOff>
                    <xdr:row>37</xdr:row>
                    <xdr:rowOff>457200</xdr:rowOff>
                  </to>
                </anchor>
              </controlPr>
            </control>
          </mc:Choice>
        </mc:AlternateContent>
        <mc:AlternateContent xmlns:mc="http://schemas.openxmlformats.org/markup-compatibility/2006">
          <mc:Choice Requires="x14">
            <control shapeId="107550" r:id="rId33" name="Check Box 30">
              <controlPr defaultSize="0" autoFill="0" autoLine="0" autoPict="0">
                <anchor moveWithCells="1">
                  <from>
                    <xdr:col>5</xdr:col>
                    <xdr:colOff>161925</xdr:colOff>
                    <xdr:row>38</xdr:row>
                    <xdr:rowOff>200025</xdr:rowOff>
                  </from>
                  <to>
                    <xdr:col>5</xdr:col>
                    <xdr:colOff>447675</xdr:colOff>
                    <xdr:row>38</xdr:row>
                    <xdr:rowOff>457200</xdr:rowOff>
                  </to>
                </anchor>
              </controlPr>
            </control>
          </mc:Choice>
        </mc:AlternateContent>
        <mc:AlternateContent xmlns:mc="http://schemas.openxmlformats.org/markup-compatibility/2006">
          <mc:Choice Requires="x14">
            <control shapeId="107551" r:id="rId34" name="Check Box 31">
              <controlPr defaultSize="0" autoFill="0" autoLine="0" autoPict="0">
                <anchor moveWithCells="1">
                  <from>
                    <xdr:col>5</xdr:col>
                    <xdr:colOff>161925</xdr:colOff>
                    <xdr:row>39</xdr:row>
                    <xdr:rowOff>200025</xdr:rowOff>
                  </from>
                  <to>
                    <xdr:col>5</xdr:col>
                    <xdr:colOff>447675</xdr:colOff>
                    <xdr:row>39</xdr:row>
                    <xdr:rowOff>457200</xdr:rowOff>
                  </to>
                </anchor>
              </controlPr>
            </control>
          </mc:Choice>
        </mc:AlternateContent>
        <mc:AlternateContent xmlns:mc="http://schemas.openxmlformats.org/markup-compatibility/2006">
          <mc:Choice Requires="x14">
            <control shapeId="107552" r:id="rId35" name="Check Box 32">
              <controlPr defaultSize="0" autoFill="0" autoLine="0" autoPict="0">
                <anchor moveWithCells="1">
                  <from>
                    <xdr:col>5</xdr:col>
                    <xdr:colOff>161925</xdr:colOff>
                    <xdr:row>40</xdr:row>
                    <xdr:rowOff>200025</xdr:rowOff>
                  </from>
                  <to>
                    <xdr:col>5</xdr:col>
                    <xdr:colOff>447675</xdr:colOff>
                    <xdr:row>40</xdr:row>
                    <xdr:rowOff>457200</xdr:rowOff>
                  </to>
                </anchor>
              </controlPr>
            </control>
          </mc:Choice>
        </mc:AlternateContent>
        <mc:AlternateContent xmlns:mc="http://schemas.openxmlformats.org/markup-compatibility/2006">
          <mc:Choice Requires="x14">
            <control shapeId="107553" r:id="rId36" name="Check Box 33">
              <controlPr defaultSize="0" autoFill="0" autoLine="0" autoPict="0">
                <anchor moveWithCells="1">
                  <from>
                    <xdr:col>5</xdr:col>
                    <xdr:colOff>161925</xdr:colOff>
                    <xdr:row>42</xdr:row>
                    <xdr:rowOff>200025</xdr:rowOff>
                  </from>
                  <to>
                    <xdr:col>5</xdr:col>
                    <xdr:colOff>447675</xdr:colOff>
                    <xdr:row>42</xdr:row>
                    <xdr:rowOff>457200</xdr:rowOff>
                  </to>
                </anchor>
              </controlPr>
            </control>
          </mc:Choice>
        </mc:AlternateContent>
        <mc:AlternateContent xmlns:mc="http://schemas.openxmlformats.org/markup-compatibility/2006">
          <mc:Choice Requires="x14">
            <control shapeId="107554" r:id="rId37" name="Check Box 34">
              <controlPr defaultSize="0" autoFill="0" autoLine="0" autoPict="0">
                <anchor moveWithCells="1">
                  <from>
                    <xdr:col>5</xdr:col>
                    <xdr:colOff>161925</xdr:colOff>
                    <xdr:row>43</xdr:row>
                    <xdr:rowOff>200025</xdr:rowOff>
                  </from>
                  <to>
                    <xdr:col>5</xdr:col>
                    <xdr:colOff>447675</xdr:colOff>
                    <xdr:row>43</xdr:row>
                    <xdr:rowOff>457200</xdr:rowOff>
                  </to>
                </anchor>
              </controlPr>
            </control>
          </mc:Choice>
        </mc:AlternateContent>
        <mc:AlternateContent xmlns:mc="http://schemas.openxmlformats.org/markup-compatibility/2006">
          <mc:Choice Requires="x14">
            <control shapeId="107555" r:id="rId38" name="Check Box 35">
              <controlPr defaultSize="0" autoFill="0" autoLine="0" autoPict="0">
                <anchor moveWithCells="1">
                  <from>
                    <xdr:col>5</xdr:col>
                    <xdr:colOff>161925</xdr:colOff>
                    <xdr:row>44</xdr:row>
                    <xdr:rowOff>200025</xdr:rowOff>
                  </from>
                  <to>
                    <xdr:col>5</xdr:col>
                    <xdr:colOff>447675</xdr:colOff>
                    <xdr:row>44</xdr:row>
                    <xdr:rowOff>457200</xdr:rowOff>
                  </to>
                </anchor>
              </controlPr>
            </control>
          </mc:Choice>
        </mc:AlternateContent>
        <mc:AlternateContent xmlns:mc="http://schemas.openxmlformats.org/markup-compatibility/2006">
          <mc:Choice Requires="x14">
            <control shapeId="107556" r:id="rId39" name="Check Box 36">
              <controlPr defaultSize="0" autoFill="0" autoLine="0" autoPict="0">
                <anchor moveWithCells="1">
                  <from>
                    <xdr:col>5</xdr:col>
                    <xdr:colOff>161925</xdr:colOff>
                    <xdr:row>45</xdr:row>
                    <xdr:rowOff>200025</xdr:rowOff>
                  </from>
                  <to>
                    <xdr:col>5</xdr:col>
                    <xdr:colOff>447675</xdr:colOff>
                    <xdr:row>45</xdr:row>
                    <xdr:rowOff>457200</xdr:rowOff>
                  </to>
                </anchor>
              </controlPr>
            </control>
          </mc:Choice>
        </mc:AlternateContent>
        <mc:AlternateContent xmlns:mc="http://schemas.openxmlformats.org/markup-compatibility/2006">
          <mc:Choice Requires="x14">
            <control shapeId="107557" r:id="rId40" name="Check Box 37">
              <controlPr defaultSize="0" autoFill="0" autoLine="0" autoPict="0">
                <anchor moveWithCells="1">
                  <from>
                    <xdr:col>5</xdr:col>
                    <xdr:colOff>161925</xdr:colOff>
                    <xdr:row>46</xdr:row>
                    <xdr:rowOff>200025</xdr:rowOff>
                  </from>
                  <to>
                    <xdr:col>5</xdr:col>
                    <xdr:colOff>447675</xdr:colOff>
                    <xdr:row>46</xdr:row>
                    <xdr:rowOff>457200</xdr:rowOff>
                  </to>
                </anchor>
              </controlPr>
            </control>
          </mc:Choice>
        </mc:AlternateContent>
        <mc:AlternateContent xmlns:mc="http://schemas.openxmlformats.org/markup-compatibility/2006">
          <mc:Choice Requires="x14">
            <control shapeId="107558" r:id="rId41" name="Button 38">
              <controlPr defaultSize="0" print="0" autoFill="0" autoPict="0" macro="[0]!RHP_Sheet.RHPNext">
                <anchor moveWithCells="1" sizeWithCells="1">
                  <from>
                    <xdr:col>2</xdr:col>
                    <xdr:colOff>3933825</xdr:colOff>
                    <xdr:row>51</xdr:row>
                    <xdr:rowOff>76200</xdr:rowOff>
                  </from>
                  <to>
                    <xdr:col>3</xdr:col>
                    <xdr:colOff>371475</xdr:colOff>
                    <xdr:row>53</xdr:row>
                    <xdr:rowOff>161925</xdr:rowOff>
                  </to>
                </anchor>
              </controlPr>
            </control>
          </mc:Choice>
        </mc:AlternateContent>
        <mc:AlternateContent xmlns:mc="http://schemas.openxmlformats.org/markup-compatibility/2006">
          <mc:Choice Requires="x14">
            <control shapeId="107559" r:id="rId42" name="Button 39">
              <controlPr defaultSize="0" print="0" autoFill="0" autoPict="0" macro="[0]!RHP_Sheet.RHPBack">
                <anchor moveWithCells="1" sizeWithCells="1">
                  <from>
                    <xdr:col>2</xdr:col>
                    <xdr:colOff>1143000</xdr:colOff>
                    <xdr:row>51</xdr:row>
                    <xdr:rowOff>85725</xdr:rowOff>
                  </from>
                  <to>
                    <xdr:col>2</xdr:col>
                    <xdr:colOff>2324100</xdr:colOff>
                    <xdr:row>53</xdr:row>
                    <xdr:rowOff>161925</xdr:rowOff>
                  </to>
                </anchor>
              </controlPr>
            </control>
          </mc:Choice>
        </mc:AlternateContent>
        <mc:AlternateContent xmlns:mc="http://schemas.openxmlformats.org/markup-compatibility/2006">
          <mc:Choice Requires="x14">
            <control shapeId="107560" r:id="rId43" name="Check Box 40">
              <controlPr defaultSize="0" autoFill="0" autoLine="0" autoPict="0">
                <anchor moveWithCells="1">
                  <from>
                    <xdr:col>5</xdr:col>
                    <xdr:colOff>161925</xdr:colOff>
                    <xdr:row>48</xdr:row>
                    <xdr:rowOff>200025</xdr:rowOff>
                  </from>
                  <to>
                    <xdr:col>5</xdr:col>
                    <xdr:colOff>447675</xdr:colOff>
                    <xdr:row>48</xdr:row>
                    <xdr:rowOff>457200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8" operator="notBetween" id="{4F4F53C7-8B39-B543-918C-2E75061F7E4F}">
            <xm:f>1</xm:f>
            <xm:f>COUNT(RegPInd!$A$2:$A$39)</xm:f>
            <x14:dxf>
              <font>
                <b/>
                <i val="0"/>
                <color rgb="FFFF0000"/>
              </font>
            </x14:dxf>
          </x14:cfRule>
          <xm:sqref>F51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B0538-821B-3743-A314-F3E5B06F35BE}">
  <sheetPr codeName="TBP_Sheet"/>
  <dimension ref="B1:Y51"/>
  <sheetViews>
    <sheetView zoomScale="140" zoomScaleNormal="140" workbookViewId="0">
      <pane ySplit="3" topLeftCell="A4" activePane="bottomLeft" state="frozen"/>
      <selection activeCell="G5" sqref="G5"/>
      <selection pane="bottomLeft" activeCell="G5" sqref="G5"/>
    </sheetView>
  </sheetViews>
  <sheetFormatPr defaultColWidth="8.85546875" defaultRowHeight="15" x14ac:dyDescent="0.25"/>
  <cols>
    <col min="1" max="1" width="8.85546875" style="4"/>
    <col min="2" max="2" width="12.140625" style="6" customWidth="1"/>
    <col min="3" max="3" width="62.28515625" style="4" customWidth="1"/>
    <col min="4" max="4" width="9.85546875" style="6" customWidth="1"/>
    <col min="5" max="5" width="5.140625" style="6" hidden="1" customWidth="1"/>
    <col min="6" max="6" width="8" style="4" customWidth="1"/>
    <col min="7" max="7" width="8.85546875" style="83"/>
    <col min="8" max="8" width="8.85546875" style="6" hidden="1" customWidth="1"/>
    <col min="9" max="9" width="8.85546875" style="4" hidden="1" customWidth="1"/>
    <col min="10" max="10" width="8.85546875" style="4" customWidth="1"/>
    <col min="11" max="16" width="8.85546875" style="4"/>
    <col min="17" max="25" width="0" style="4" hidden="1" customWidth="1"/>
    <col min="26" max="16384" width="8.85546875" style="4"/>
  </cols>
  <sheetData>
    <row r="1" spans="2:25" x14ac:dyDescent="0.25">
      <c r="B1" s="503" t="s">
        <v>906</v>
      </c>
      <c r="C1" s="503"/>
      <c r="D1" s="503"/>
      <c r="E1" s="503"/>
      <c r="F1" s="503"/>
      <c r="G1" s="503"/>
    </row>
    <row r="2" spans="2:25" x14ac:dyDescent="0.25">
      <c r="B2" s="502" t="str">
        <f>meta!B4</f>
        <v>SY 2023-2024</v>
      </c>
      <c r="C2" s="502"/>
      <c r="D2" s="502"/>
      <c r="E2" s="502"/>
      <c r="F2" s="502"/>
      <c r="G2" s="502"/>
      <c r="O2" s="325" t="s">
        <v>879</v>
      </c>
      <c r="Q2" s="11">
        <v>1</v>
      </c>
      <c r="R2" s="11">
        <v>2</v>
      </c>
      <c r="S2" s="11">
        <v>3</v>
      </c>
      <c r="T2" s="11">
        <v>4</v>
      </c>
      <c r="U2" s="6" t="s">
        <v>881</v>
      </c>
      <c r="V2" s="11">
        <v>1</v>
      </c>
      <c r="W2" s="11">
        <v>2</v>
      </c>
      <c r="X2" s="11">
        <v>3</v>
      </c>
      <c r="Y2" s="11">
        <v>4</v>
      </c>
    </row>
    <row r="3" spans="2:25" s="1" customFormat="1" ht="60" x14ac:dyDescent="0.25">
      <c r="B3" s="12" t="s">
        <v>882</v>
      </c>
      <c r="C3" s="12" t="s">
        <v>883</v>
      </c>
      <c r="D3" s="12" t="s">
        <v>884</v>
      </c>
      <c r="E3" s="12" t="s">
        <v>885</v>
      </c>
      <c r="F3" s="12" t="s">
        <v>886</v>
      </c>
      <c r="G3" s="80" t="s">
        <v>887</v>
      </c>
      <c r="H3" s="1" t="s">
        <v>888</v>
      </c>
      <c r="I3" s="1" t="s">
        <v>881</v>
      </c>
      <c r="J3" s="12" t="s">
        <v>889</v>
      </c>
      <c r="K3" s="12" t="s">
        <v>890</v>
      </c>
      <c r="L3" s="12" t="s">
        <v>891</v>
      </c>
      <c r="M3" s="12" t="s">
        <v>892</v>
      </c>
      <c r="N3" s="12" t="s">
        <v>893</v>
      </c>
      <c r="O3" s="316" t="s">
        <v>894</v>
      </c>
      <c r="Q3" s="1" t="b">
        <f>required_cot&gt;=Q2</f>
        <v>1</v>
      </c>
      <c r="R3" s="1" t="b">
        <f>required_cot&gt;=R2</f>
        <v>1</v>
      </c>
      <c r="S3" s="1" t="b">
        <f>required_cot&gt;=S2</f>
        <v>1</v>
      </c>
      <c r="T3" s="1" t="b">
        <f>required_cot&gt;=T2</f>
        <v>1</v>
      </c>
      <c r="V3" s="1" t="b">
        <f>required_cot&gt;=V2</f>
        <v>1</v>
      </c>
      <c r="W3" s="1" t="b">
        <f>required_cot&gt;=W2</f>
        <v>1</v>
      </c>
      <c r="X3" s="1" t="b">
        <f>required_cot&gt;=X2</f>
        <v>1</v>
      </c>
      <c r="Y3" s="1" t="b">
        <f>required_cot&gt;=Y2</f>
        <v>1</v>
      </c>
    </row>
    <row r="4" spans="2:25" s="7" customFormat="1" x14ac:dyDescent="0.25">
      <c r="B4" s="345" t="s">
        <v>895</v>
      </c>
      <c r="C4" s="345"/>
      <c r="D4" s="345"/>
      <c r="E4" s="345"/>
      <c r="F4" s="346"/>
      <c r="G4" s="315"/>
      <c r="H4" s="6"/>
      <c r="I4" s="6" t="b">
        <f>OR(AND(H4,NOT(ISBLANK(G4)),OR(AND(D4="COI/NCOI",NOT(J4="")),AND(NOT(D4="COI/NCOI"),OR(D4=J4,J4="")))),AND(NOT(H4),ISBLANK(G4),ISBLANK(J4)))</f>
        <v>1</v>
      </c>
      <c r="J4" s="13"/>
      <c r="K4" s="13"/>
      <c r="L4" s="13"/>
      <c r="M4" s="13"/>
      <c r="N4" s="13"/>
      <c r="Q4" s="6" t="b">
        <f>AND(IF($H4,IF($D4="COI",TRUE,IF($D4="COI/NCOI",IF(OR($J4="COI",$J4="COI/NCOI"),TRUE,FALSE),FALSE)),FALSE),Q$3)</f>
        <v>0</v>
      </c>
      <c r="R4" s="6" t="b">
        <f t="shared" ref="R4:T19" si="0">AND(IF($H4,IF($D4="COI",TRUE,IF($D4="COI/NCOI",IF(OR($J4="COI",$J4="COI/NCOI"),TRUE,FALSE),FALSE)),FALSE),R$3)</f>
        <v>0</v>
      </c>
      <c r="S4" s="6" t="b">
        <f t="shared" si="0"/>
        <v>0</v>
      </c>
      <c r="T4" s="6" t="b">
        <f t="shared" si="0"/>
        <v>0</v>
      </c>
      <c r="U4" s="6" t="b">
        <f t="shared" ref="U4:U49" si="1">IF(AND($H4,OR($D4="COI",$J4="COI", $J4="COI/NCOI")),AND(SUM($K4:$N4)&gt;0,SUM($K4:$N4)&lt;=required_cot),SUM($K4:$N4)=0)</f>
        <v>1</v>
      </c>
      <c r="V4" s="6" t="b">
        <f>IF(Q4,IF(NOT(ISBLANK(K4)),TRUE,FALSE),IF(ISBLANK(K4),TRUE,FALSE))</f>
        <v>1</v>
      </c>
      <c r="W4" s="6" t="b">
        <f t="shared" ref="W4:Y19" si="2">IF(R4,IF(NOT(ISBLANK(L4)),TRUE,FALSE),IF(ISBLANK(L4),TRUE,FALSE))</f>
        <v>1</v>
      </c>
      <c r="X4" s="6" t="b">
        <f t="shared" si="2"/>
        <v>1</v>
      </c>
      <c r="Y4" s="6" t="b">
        <f t="shared" si="2"/>
        <v>1</v>
      </c>
    </row>
    <row r="5" spans="2:25" ht="50.1" customHeight="1" x14ac:dyDescent="0.25">
      <c r="B5" s="13">
        <f>TBPInd!A2</f>
        <v>1.1000000000000001</v>
      </c>
      <c r="C5" s="18" t="str">
        <f>TBPInd!B2</f>
        <v>Applied knowledge of content within and across curriculum teaching areas</v>
      </c>
      <c r="D5" s="13" t="str">
        <f>TBPInd!D2</f>
        <v>COI</v>
      </c>
      <c r="E5" s="13">
        <f>TBPInd!E2</f>
        <v>3</v>
      </c>
      <c r="F5" s="46"/>
      <c r="G5" s="81"/>
      <c r="H5" s="261" t="b">
        <v>0</v>
      </c>
      <c r="I5" s="6" t="b">
        <f t="shared" ref="I5:I49" si="3">OR(AND(H5,NOT(ISBLANK(G5)),OR(AND(D5="COI/NCOI",NOT(J5="")),AND(NOT(D5="COI/NCOI"),OR(D5=J5,J5="")))),AND(NOT(H5),ISBLANK(G5),ISBLANK(J5)))</f>
        <v>1</v>
      </c>
      <c r="J5" s="137"/>
      <c r="K5" s="137"/>
      <c r="L5" s="137"/>
      <c r="M5" s="137"/>
      <c r="N5" s="137"/>
      <c r="Q5" s="6" t="b">
        <f t="shared" ref="Q5:T49" si="4">AND(IF($H5,IF($D5="COI",TRUE,IF($D5="COI/NCOI",IF(OR($J5="COI",$J5="COI/NCOI"),TRUE,FALSE),FALSE)),FALSE),Q$3)</f>
        <v>0</v>
      </c>
      <c r="R5" s="6" t="b">
        <f t="shared" si="0"/>
        <v>0</v>
      </c>
      <c r="S5" s="6" t="b">
        <f t="shared" si="0"/>
        <v>0</v>
      </c>
      <c r="T5" s="6" t="b">
        <f t="shared" si="0"/>
        <v>0</v>
      </c>
      <c r="U5" s="6" t="b">
        <f t="shared" si="1"/>
        <v>1</v>
      </c>
      <c r="V5" s="6" t="b">
        <f>IF(Q5,IF(NOT(ISBLANK(K5)),TRUE,FALSE),IF(ISBLANK(K5),TRUE,FALSE))</f>
        <v>1</v>
      </c>
      <c r="W5" s="6" t="b">
        <f t="shared" si="2"/>
        <v>1</v>
      </c>
      <c r="X5" s="6" t="b">
        <f t="shared" si="2"/>
        <v>1</v>
      </c>
      <c r="Y5" s="6" t="b">
        <f t="shared" si="2"/>
        <v>1</v>
      </c>
    </row>
    <row r="6" spans="2:25" ht="50.1" customHeight="1" x14ac:dyDescent="0.25">
      <c r="B6" s="13">
        <f>TBPInd!A3</f>
        <v>1.2</v>
      </c>
      <c r="C6" s="18" t="str">
        <f>TBPInd!B3</f>
        <v>Used research-based knowledge and principles of teaching and learning to enhance professional practice</v>
      </c>
      <c r="D6" s="13" t="str">
        <f>TBPInd!D3</f>
        <v>NCOI</v>
      </c>
      <c r="E6" s="13">
        <f>TBPInd!E3</f>
        <v>3</v>
      </c>
      <c r="F6" s="46"/>
      <c r="G6" s="81"/>
      <c r="H6" s="261" t="b">
        <v>0</v>
      </c>
      <c r="I6" s="6" t="b">
        <f t="shared" si="3"/>
        <v>1</v>
      </c>
      <c r="J6" s="137"/>
      <c r="K6" s="137"/>
      <c r="L6" s="137"/>
      <c r="M6" s="137"/>
      <c r="N6" s="137"/>
      <c r="Q6" s="6" t="b">
        <f t="shared" si="4"/>
        <v>0</v>
      </c>
      <c r="R6" s="6" t="b">
        <f t="shared" si="0"/>
        <v>0</v>
      </c>
      <c r="S6" s="6" t="b">
        <f t="shared" si="0"/>
        <v>0</v>
      </c>
      <c r="T6" s="6" t="b">
        <f t="shared" si="0"/>
        <v>0</v>
      </c>
      <c r="U6" s="6" t="b">
        <f t="shared" si="1"/>
        <v>1</v>
      </c>
      <c r="V6" s="6" t="b">
        <f t="shared" ref="V6:Y49" si="5">IF(Q6,IF(NOT(ISBLANK(K6)),TRUE,FALSE),IF(ISBLANK(K6),TRUE,FALSE))</f>
        <v>1</v>
      </c>
      <c r="W6" s="6" t="b">
        <f t="shared" si="2"/>
        <v>1</v>
      </c>
      <c r="X6" s="6" t="b">
        <f t="shared" si="2"/>
        <v>1</v>
      </c>
      <c r="Y6" s="6" t="b">
        <f t="shared" si="2"/>
        <v>1</v>
      </c>
    </row>
    <row r="7" spans="2:25" ht="50.1" customHeight="1" x14ac:dyDescent="0.25">
      <c r="B7" s="13">
        <f>TBPInd!A4</f>
        <v>1.3</v>
      </c>
      <c r="C7" s="18" t="str">
        <f>TBPInd!B4</f>
        <v>Ensured the positive use of ICT to facilitate the teaching and learning process</v>
      </c>
      <c r="D7" s="13" t="str">
        <f>TBPInd!D4</f>
        <v>NCOI</v>
      </c>
      <c r="E7" s="13">
        <f>TBPInd!E4</f>
        <v>2</v>
      </c>
      <c r="F7" s="46"/>
      <c r="G7" s="81"/>
      <c r="H7" s="261" t="b">
        <v>0</v>
      </c>
      <c r="I7" s="6" t="b">
        <f t="shared" si="3"/>
        <v>1</v>
      </c>
      <c r="J7" s="137"/>
      <c r="K7" s="137"/>
      <c r="L7" s="137"/>
      <c r="M7" s="137"/>
      <c r="N7" s="137"/>
      <c r="Q7" s="6" t="b">
        <f t="shared" si="4"/>
        <v>0</v>
      </c>
      <c r="R7" s="6" t="b">
        <f t="shared" si="0"/>
        <v>0</v>
      </c>
      <c r="S7" s="6" t="b">
        <f t="shared" si="0"/>
        <v>0</v>
      </c>
      <c r="T7" s="6" t="b">
        <f t="shared" si="0"/>
        <v>0</v>
      </c>
      <c r="U7" s="6" t="b">
        <f t="shared" si="1"/>
        <v>1</v>
      </c>
      <c r="V7" s="6" t="b">
        <f t="shared" si="5"/>
        <v>1</v>
      </c>
      <c r="W7" s="6" t="b">
        <f t="shared" si="2"/>
        <v>1</v>
      </c>
      <c r="X7" s="6" t="b">
        <f t="shared" si="2"/>
        <v>1</v>
      </c>
      <c r="Y7" s="6" t="b">
        <f t="shared" si="2"/>
        <v>1</v>
      </c>
    </row>
    <row r="8" spans="2:25" ht="50.1" customHeight="1" x14ac:dyDescent="0.25">
      <c r="B8" s="13">
        <f>TBPInd!A5</f>
        <v>1.4</v>
      </c>
      <c r="C8" s="18" t="str">
        <f>TBPInd!B5</f>
        <v>Used a range of teaching strategies that enhance learner achievement in literacy and numeracy skills</v>
      </c>
      <c r="D8" s="13" t="str">
        <f>TBPInd!D5</f>
        <v>COI</v>
      </c>
      <c r="E8" s="13">
        <f>TBPInd!E5</f>
        <v>1</v>
      </c>
      <c r="F8" s="46"/>
      <c r="G8" s="81"/>
      <c r="H8" s="261" t="b">
        <v>0</v>
      </c>
      <c r="I8" s="6" t="b">
        <f t="shared" si="3"/>
        <v>1</v>
      </c>
      <c r="J8" s="137"/>
      <c r="K8" s="137"/>
      <c r="L8" s="137"/>
      <c r="M8" s="137"/>
      <c r="N8" s="137"/>
      <c r="Q8" s="6" t="b">
        <f t="shared" si="4"/>
        <v>0</v>
      </c>
      <c r="R8" s="6" t="b">
        <f t="shared" si="0"/>
        <v>0</v>
      </c>
      <c r="S8" s="6" t="b">
        <f t="shared" si="0"/>
        <v>0</v>
      </c>
      <c r="T8" s="6" t="b">
        <f t="shared" si="0"/>
        <v>0</v>
      </c>
      <c r="U8" s="6" t="b">
        <f t="shared" si="1"/>
        <v>1</v>
      </c>
      <c r="V8" s="6" t="b">
        <f t="shared" si="5"/>
        <v>1</v>
      </c>
      <c r="W8" s="6" t="b">
        <f t="shared" si="2"/>
        <v>1</v>
      </c>
      <c r="X8" s="6" t="b">
        <f t="shared" si="2"/>
        <v>1</v>
      </c>
      <c r="Y8" s="6" t="b">
        <f t="shared" si="2"/>
        <v>1</v>
      </c>
    </row>
    <row r="9" spans="2:25" ht="50.1" customHeight="1" x14ac:dyDescent="0.25">
      <c r="B9" s="13">
        <f>TBPInd!A6</f>
        <v>1.5</v>
      </c>
      <c r="C9" s="18" t="str">
        <f>TBPInd!B6</f>
        <v>Applied a range of teaching strategies to develop critical and creative thinking, as well as other higher-order thinking skills</v>
      </c>
      <c r="D9" s="13" t="str">
        <f>TBPInd!D6</f>
        <v>COI</v>
      </c>
      <c r="E9" s="13">
        <f>TBPInd!E6</f>
        <v>3</v>
      </c>
      <c r="F9" s="46"/>
      <c r="G9" s="81"/>
      <c r="H9" s="261" t="b">
        <v>0</v>
      </c>
      <c r="I9" s="6" t="b">
        <f t="shared" si="3"/>
        <v>1</v>
      </c>
      <c r="J9" s="137"/>
      <c r="K9" s="137"/>
      <c r="L9" s="137"/>
      <c r="M9" s="137"/>
      <c r="N9" s="137"/>
      <c r="Q9" s="6" t="b">
        <f t="shared" si="4"/>
        <v>0</v>
      </c>
      <c r="R9" s="6" t="b">
        <f t="shared" si="0"/>
        <v>0</v>
      </c>
      <c r="S9" s="6" t="b">
        <f t="shared" si="0"/>
        <v>0</v>
      </c>
      <c r="T9" s="6" t="b">
        <f t="shared" si="0"/>
        <v>0</v>
      </c>
      <c r="U9" s="6" t="b">
        <f t="shared" si="1"/>
        <v>1</v>
      </c>
      <c r="V9" s="6" t="b">
        <f t="shared" si="5"/>
        <v>1</v>
      </c>
      <c r="W9" s="6" t="b">
        <f t="shared" si="2"/>
        <v>1</v>
      </c>
      <c r="X9" s="6" t="b">
        <f t="shared" si="2"/>
        <v>1</v>
      </c>
      <c r="Y9" s="6" t="b">
        <f t="shared" si="2"/>
        <v>1</v>
      </c>
    </row>
    <row r="10" spans="2:25" ht="50.1" customHeight="1" x14ac:dyDescent="0.25">
      <c r="B10" s="13">
        <f>TBPInd!A7</f>
        <v>1.6</v>
      </c>
      <c r="C10" s="18" t="str">
        <f>TBPInd!B7</f>
        <v>Displayed proficient use of Mother Tongue, Filipino and English to facilitate teaching and learning</v>
      </c>
      <c r="D10" s="13" t="str">
        <f>TBPInd!D7</f>
        <v>COI</v>
      </c>
      <c r="E10" s="13">
        <f>TBPInd!E7</f>
        <v>3</v>
      </c>
      <c r="F10" s="46"/>
      <c r="G10" s="81"/>
      <c r="H10" s="261" t="b">
        <v>0</v>
      </c>
      <c r="I10" s="6" t="b">
        <f t="shared" si="3"/>
        <v>1</v>
      </c>
      <c r="J10" s="137"/>
      <c r="K10" s="137"/>
      <c r="L10" s="137"/>
      <c r="M10" s="137"/>
      <c r="N10" s="137"/>
      <c r="Q10" s="6" t="b">
        <f t="shared" si="4"/>
        <v>0</v>
      </c>
      <c r="R10" s="6" t="b">
        <f t="shared" si="0"/>
        <v>0</v>
      </c>
      <c r="S10" s="6" t="b">
        <f t="shared" si="0"/>
        <v>0</v>
      </c>
      <c r="T10" s="6" t="b">
        <f t="shared" si="0"/>
        <v>0</v>
      </c>
      <c r="U10" s="6" t="b">
        <f t="shared" si="1"/>
        <v>1</v>
      </c>
      <c r="V10" s="6" t="b">
        <f t="shared" si="5"/>
        <v>1</v>
      </c>
      <c r="W10" s="6" t="b">
        <f t="shared" si="2"/>
        <v>1</v>
      </c>
      <c r="X10" s="6" t="b">
        <f t="shared" si="2"/>
        <v>1</v>
      </c>
      <c r="Y10" s="6" t="b">
        <f t="shared" si="2"/>
        <v>1</v>
      </c>
    </row>
    <row r="11" spans="2:25" ht="50.1" customHeight="1" x14ac:dyDescent="0.25">
      <c r="B11" s="13">
        <f>TBPInd!A8</f>
        <v>1.7</v>
      </c>
      <c r="C11" s="18" t="str">
        <f>TBPInd!B8</f>
        <v>Used effective verbal and non-verbal classroom communication strategies to support learner understanding, participation, engagement and achievement</v>
      </c>
      <c r="D11" s="13" t="str">
        <f>TBPInd!D8</f>
        <v>COI</v>
      </c>
      <c r="E11" s="13">
        <f>TBPInd!E8</f>
        <v>3</v>
      </c>
      <c r="F11" s="46"/>
      <c r="G11" s="81"/>
      <c r="H11" s="261" t="b">
        <v>0</v>
      </c>
      <c r="I11" s="6" t="b">
        <f t="shared" si="3"/>
        <v>1</v>
      </c>
      <c r="J11" s="137"/>
      <c r="K11" s="137"/>
      <c r="L11" s="137"/>
      <c r="M11" s="137"/>
      <c r="N11" s="137"/>
      <c r="Q11" s="6" t="b">
        <f t="shared" si="4"/>
        <v>0</v>
      </c>
      <c r="R11" s="6" t="b">
        <f t="shared" si="0"/>
        <v>0</v>
      </c>
      <c r="S11" s="6" t="b">
        <f t="shared" si="0"/>
        <v>0</v>
      </c>
      <c r="T11" s="6" t="b">
        <f t="shared" si="0"/>
        <v>0</v>
      </c>
      <c r="U11" s="6" t="b">
        <f t="shared" si="1"/>
        <v>1</v>
      </c>
      <c r="V11" s="6" t="b">
        <f t="shared" si="5"/>
        <v>1</v>
      </c>
      <c r="W11" s="6" t="b">
        <f t="shared" si="2"/>
        <v>1</v>
      </c>
      <c r="X11" s="6" t="b">
        <f t="shared" si="2"/>
        <v>1</v>
      </c>
      <c r="Y11" s="6" t="b">
        <f t="shared" si="2"/>
        <v>1</v>
      </c>
    </row>
    <row r="12" spans="2:25" s="7" customFormat="1" x14ac:dyDescent="0.25">
      <c r="B12" s="347" t="s">
        <v>896</v>
      </c>
      <c r="C12" s="347"/>
      <c r="D12" s="347"/>
      <c r="E12" s="347"/>
      <c r="F12" s="348"/>
      <c r="G12" s="203"/>
      <c r="H12" s="6"/>
      <c r="I12" s="6" t="b">
        <f t="shared" si="3"/>
        <v>1</v>
      </c>
      <c r="J12" s="13"/>
      <c r="K12" s="13"/>
      <c r="L12" s="13"/>
      <c r="M12" s="13"/>
      <c r="N12" s="13"/>
      <c r="Q12" s="6" t="b">
        <f t="shared" si="4"/>
        <v>0</v>
      </c>
      <c r="R12" s="6" t="b">
        <f t="shared" si="0"/>
        <v>0</v>
      </c>
      <c r="S12" s="6" t="b">
        <f t="shared" si="0"/>
        <v>0</v>
      </c>
      <c r="T12" s="6" t="b">
        <f t="shared" si="0"/>
        <v>0</v>
      </c>
      <c r="U12" s="6" t="b">
        <f t="shared" si="1"/>
        <v>1</v>
      </c>
      <c r="V12" s="6" t="b">
        <f t="shared" si="5"/>
        <v>1</v>
      </c>
      <c r="W12" s="6" t="b">
        <f t="shared" si="2"/>
        <v>1</v>
      </c>
      <c r="X12" s="6" t="b">
        <f t="shared" si="2"/>
        <v>1</v>
      </c>
      <c r="Y12" s="6" t="b">
        <f t="shared" si="2"/>
        <v>1</v>
      </c>
    </row>
    <row r="13" spans="2:25" ht="50.1" customHeight="1" x14ac:dyDescent="0.25">
      <c r="B13" s="13">
        <f>TBPInd!A9</f>
        <v>2.1</v>
      </c>
      <c r="C13" s="18" t="str">
        <f>TBPInd!B9</f>
        <v>Established safe and secure learning environments to enhance learning through the consistent implementation of policies, guidelines and procedures</v>
      </c>
      <c r="D13" s="13" t="str">
        <f>TBPInd!D9</f>
        <v>COI</v>
      </c>
      <c r="E13" s="13">
        <f>TBPInd!E9</f>
        <v>3</v>
      </c>
      <c r="F13" s="46"/>
      <c r="G13" s="81"/>
      <c r="H13" s="261" t="b">
        <v>0</v>
      </c>
      <c r="I13" s="6" t="b">
        <f t="shared" si="3"/>
        <v>1</v>
      </c>
      <c r="J13" s="137"/>
      <c r="K13" s="137"/>
      <c r="L13" s="137"/>
      <c r="M13" s="137"/>
      <c r="N13" s="137"/>
      <c r="Q13" s="6" t="b">
        <f t="shared" si="4"/>
        <v>0</v>
      </c>
      <c r="R13" s="6" t="b">
        <f t="shared" si="0"/>
        <v>0</v>
      </c>
      <c r="S13" s="6" t="b">
        <f t="shared" si="0"/>
        <v>0</v>
      </c>
      <c r="T13" s="6" t="b">
        <f t="shared" si="0"/>
        <v>0</v>
      </c>
      <c r="U13" s="6" t="b">
        <f t="shared" si="1"/>
        <v>1</v>
      </c>
      <c r="V13" s="6" t="b">
        <f t="shared" si="5"/>
        <v>1</v>
      </c>
      <c r="W13" s="6" t="b">
        <f t="shared" si="2"/>
        <v>1</v>
      </c>
      <c r="X13" s="6" t="b">
        <f t="shared" si="2"/>
        <v>1</v>
      </c>
      <c r="Y13" s="6" t="b">
        <f t="shared" si="2"/>
        <v>1</v>
      </c>
    </row>
    <row r="14" spans="2:25" ht="50.1" customHeight="1" x14ac:dyDescent="0.25">
      <c r="B14" s="13">
        <f>TBPInd!A10</f>
        <v>2.2000000000000002</v>
      </c>
      <c r="C14" s="18" t="str">
        <f>TBPInd!B10</f>
        <v>Maintained learning environments that promote fairness, respect and care to encourage learning</v>
      </c>
      <c r="D14" s="13" t="str">
        <f>TBPInd!D10</f>
        <v>COI</v>
      </c>
      <c r="E14" s="13">
        <f>TBPInd!E10</f>
        <v>3</v>
      </c>
      <c r="F14" s="46"/>
      <c r="G14" s="81"/>
      <c r="H14" s="261" t="b">
        <v>0</v>
      </c>
      <c r="I14" s="6" t="b">
        <f t="shared" si="3"/>
        <v>1</v>
      </c>
      <c r="J14" s="137"/>
      <c r="K14" s="137"/>
      <c r="L14" s="137"/>
      <c r="M14" s="137"/>
      <c r="N14" s="137"/>
      <c r="Q14" s="6" t="b">
        <f t="shared" si="4"/>
        <v>0</v>
      </c>
      <c r="R14" s="6" t="b">
        <f t="shared" si="0"/>
        <v>0</v>
      </c>
      <c r="S14" s="6" t="b">
        <f t="shared" si="0"/>
        <v>0</v>
      </c>
      <c r="T14" s="6" t="b">
        <f t="shared" si="0"/>
        <v>0</v>
      </c>
      <c r="U14" s="6" t="b">
        <f t="shared" si="1"/>
        <v>1</v>
      </c>
      <c r="V14" s="6" t="b">
        <f t="shared" si="5"/>
        <v>1</v>
      </c>
      <c r="W14" s="6" t="b">
        <f t="shared" si="2"/>
        <v>1</v>
      </c>
      <c r="X14" s="6" t="b">
        <f t="shared" si="2"/>
        <v>1</v>
      </c>
      <c r="Y14" s="6" t="b">
        <f t="shared" si="2"/>
        <v>1</v>
      </c>
    </row>
    <row r="15" spans="2:25" ht="50.1" customHeight="1" x14ac:dyDescent="0.25">
      <c r="B15" s="13">
        <f>TBPInd!A11</f>
        <v>2.2999999999999998</v>
      </c>
      <c r="C15" s="18" t="str">
        <f>TBPInd!B11</f>
        <v>Managed classroom structure to engage learners, individually or in groups, in meaningful exploration, discovery and hands-on activities within a range of physical learning environments</v>
      </c>
      <c r="D15" s="13" t="str">
        <f>TBPInd!D11</f>
        <v>COI</v>
      </c>
      <c r="E15" s="13">
        <f>TBPInd!E11</f>
        <v>1</v>
      </c>
      <c r="F15" s="46"/>
      <c r="G15" s="81"/>
      <c r="H15" s="261" t="b">
        <v>0</v>
      </c>
      <c r="I15" s="6" t="b">
        <f t="shared" si="3"/>
        <v>1</v>
      </c>
      <c r="J15" s="137"/>
      <c r="K15" s="137"/>
      <c r="L15" s="137"/>
      <c r="M15" s="137"/>
      <c r="N15" s="137"/>
      <c r="Q15" s="6" t="b">
        <f t="shared" si="4"/>
        <v>0</v>
      </c>
      <c r="R15" s="6" t="b">
        <f t="shared" si="0"/>
        <v>0</v>
      </c>
      <c r="S15" s="6" t="b">
        <f t="shared" si="0"/>
        <v>0</v>
      </c>
      <c r="T15" s="6" t="b">
        <f t="shared" si="0"/>
        <v>0</v>
      </c>
      <c r="U15" s="6" t="b">
        <f t="shared" si="1"/>
        <v>1</v>
      </c>
      <c r="V15" s="6" t="b">
        <f t="shared" si="5"/>
        <v>1</v>
      </c>
      <c r="W15" s="6" t="b">
        <f t="shared" si="2"/>
        <v>1</v>
      </c>
      <c r="X15" s="6" t="b">
        <f t="shared" si="2"/>
        <v>1</v>
      </c>
      <c r="Y15" s="6" t="b">
        <f t="shared" si="2"/>
        <v>1</v>
      </c>
    </row>
    <row r="16" spans="2:25" ht="50.1" customHeight="1" x14ac:dyDescent="0.25">
      <c r="B16" s="13">
        <f>TBPInd!A12</f>
        <v>2.4</v>
      </c>
      <c r="C16" s="18" t="str">
        <f>TBPInd!B12</f>
        <v>Maintained learning environments that nurture and inspire learners to participate, cooperate and collaborate in continued learning</v>
      </c>
      <c r="D16" s="13" t="str">
        <f>TBPInd!D12</f>
        <v>COI/NCOI</v>
      </c>
      <c r="E16" s="13">
        <f>TBPInd!E12</f>
        <v>3</v>
      </c>
      <c r="F16" s="46"/>
      <c r="G16" s="81"/>
      <c r="H16" s="261" t="b">
        <v>0</v>
      </c>
      <c r="I16" s="6" t="b">
        <f t="shared" si="3"/>
        <v>1</v>
      </c>
      <c r="J16" s="137"/>
      <c r="K16" s="137"/>
      <c r="L16" s="137"/>
      <c r="M16" s="137"/>
      <c r="N16" s="137"/>
      <c r="Q16" s="6" t="b">
        <f t="shared" si="4"/>
        <v>0</v>
      </c>
      <c r="R16" s="6" t="b">
        <f t="shared" si="0"/>
        <v>0</v>
      </c>
      <c r="S16" s="6" t="b">
        <f t="shared" si="0"/>
        <v>0</v>
      </c>
      <c r="T16" s="6" t="b">
        <f t="shared" si="0"/>
        <v>0</v>
      </c>
      <c r="U16" s="6" t="b">
        <f t="shared" si="1"/>
        <v>1</v>
      </c>
      <c r="V16" s="6" t="b">
        <f t="shared" si="5"/>
        <v>1</v>
      </c>
      <c r="W16" s="6" t="b">
        <f t="shared" si="2"/>
        <v>1</v>
      </c>
      <c r="X16" s="6" t="b">
        <f t="shared" si="2"/>
        <v>1</v>
      </c>
      <c r="Y16" s="6" t="b">
        <f t="shared" si="2"/>
        <v>1</v>
      </c>
    </row>
    <row r="17" spans="2:25" ht="50.1" customHeight="1" x14ac:dyDescent="0.25">
      <c r="B17" s="13">
        <f>TBPInd!A13</f>
        <v>2.5</v>
      </c>
      <c r="C17" s="18" t="str">
        <f>TBPInd!B13</f>
        <v>Applied a range of successful strategies that maintain learning environments that motivate learners to work productively by assuming responsibility for their own learning</v>
      </c>
      <c r="D17" s="13" t="str">
        <f>TBPInd!D13</f>
        <v>COI/NCOI</v>
      </c>
      <c r="E17" s="13">
        <f>TBPInd!E13</f>
        <v>3</v>
      </c>
      <c r="F17" s="46"/>
      <c r="G17" s="81"/>
      <c r="H17" s="261" t="b">
        <v>0</v>
      </c>
      <c r="I17" s="6" t="b">
        <f t="shared" si="3"/>
        <v>1</v>
      </c>
      <c r="J17" s="137"/>
      <c r="K17" s="137"/>
      <c r="L17" s="137"/>
      <c r="M17" s="137"/>
      <c r="N17" s="137"/>
      <c r="Q17" s="6" t="b">
        <f t="shared" si="4"/>
        <v>0</v>
      </c>
      <c r="R17" s="6" t="b">
        <f t="shared" si="0"/>
        <v>0</v>
      </c>
      <c r="S17" s="6" t="b">
        <f t="shared" si="0"/>
        <v>0</v>
      </c>
      <c r="T17" s="6" t="b">
        <f t="shared" si="0"/>
        <v>0</v>
      </c>
      <c r="U17" s="6" t="b">
        <f t="shared" si="1"/>
        <v>1</v>
      </c>
      <c r="V17" s="6" t="b">
        <f t="shared" si="5"/>
        <v>1</v>
      </c>
      <c r="W17" s="6" t="b">
        <f t="shared" si="2"/>
        <v>1</v>
      </c>
      <c r="X17" s="6" t="b">
        <f t="shared" si="2"/>
        <v>1</v>
      </c>
      <c r="Y17" s="6" t="b">
        <f t="shared" si="2"/>
        <v>1</v>
      </c>
    </row>
    <row r="18" spans="2:25" ht="50.1" customHeight="1" x14ac:dyDescent="0.25">
      <c r="B18" s="13">
        <f>TBPInd!A14</f>
        <v>2.6</v>
      </c>
      <c r="C18" s="18" t="str">
        <f>TBPInd!B14</f>
        <v>Managed learner behavior constructively by applying positive and non-violent discipline to ensure learning- focused environments</v>
      </c>
      <c r="D18" s="13" t="str">
        <f>TBPInd!D14</f>
        <v>COI</v>
      </c>
      <c r="E18" s="13">
        <f>TBPInd!E14</f>
        <v>1</v>
      </c>
      <c r="F18" s="46"/>
      <c r="G18" s="81"/>
      <c r="H18" s="261" t="b">
        <v>0</v>
      </c>
      <c r="I18" s="6" t="b">
        <f t="shared" si="3"/>
        <v>1</v>
      </c>
      <c r="J18" s="137"/>
      <c r="K18" s="137"/>
      <c r="L18" s="137"/>
      <c r="M18" s="137"/>
      <c r="N18" s="137"/>
      <c r="Q18" s="6" t="b">
        <f t="shared" si="4"/>
        <v>0</v>
      </c>
      <c r="R18" s="6" t="b">
        <f t="shared" si="0"/>
        <v>0</v>
      </c>
      <c r="S18" s="6" t="b">
        <f t="shared" si="0"/>
        <v>0</v>
      </c>
      <c r="T18" s="6" t="b">
        <f t="shared" si="0"/>
        <v>0</v>
      </c>
      <c r="U18" s="6" t="b">
        <f t="shared" si="1"/>
        <v>1</v>
      </c>
      <c r="V18" s="6" t="b">
        <f t="shared" si="5"/>
        <v>1</v>
      </c>
      <c r="W18" s="6" t="b">
        <f t="shared" si="2"/>
        <v>1</v>
      </c>
      <c r="X18" s="6" t="b">
        <f t="shared" si="2"/>
        <v>1</v>
      </c>
      <c r="Y18" s="6" t="b">
        <f t="shared" si="2"/>
        <v>1</v>
      </c>
    </row>
    <row r="19" spans="2:25" s="7" customFormat="1" x14ac:dyDescent="0.25">
      <c r="B19" s="347" t="s">
        <v>897</v>
      </c>
      <c r="C19" s="347"/>
      <c r="D19" s="347"/>
      <c r="E19" s="347"/>
      <c r="F19" s="348"/>
      <c r="G19" s="203"/>
      <c r="H19" s="6"/>
      <c r="I19" s="6" t="b">
        <f t="shared" si="3"/>
        <v>1</v>
      </c>
      <c r="J19" s="13"/>
      <c r="K19" s="13"/>
      <c r="L19" s="13"/>
      <c r="M19" s="13"/>
      <c r="N19" s="13"/>
      <c r="Q19" s="6" t="b">
        <f t="shared" si="4"/>
        <v>0</v>
      </c>
      <c r="R19" s="6" t="b">
        <f t="shared" si="0"/>
        <v>0</v>
      </c>
      <c r="S19" s="6" t="b">
        <f t="shared" si="0"/>
        <v>0</v>
      </c>
      <c r="T19" s="6" t="b">
        <f t="shared" si="0"/>
        <v>0</v>
      </c>
      <c r="U19" s="6" t="b">
        <f t="shared" si="1"/>
        <v>1</v>
      </c>
      <c r="V19" s="6" t="b">
        <f t="shared" si="5"/>
        <v>1</v>
      </c>
      <c r="W19" s="6" t="b">
        <f t="shared" si="2"/>
        <v>1</v>
      </c>
      <c r="X19" s="6" t="b">
        <f t="shared" si="2"/>
        <v>1</v>
      </c>
      <c r="Y19" s="6" t="b">
        <f t="shared" si="2"/>
        <v>1</v>
      </c>
    </row>
    <row r="20" spans="2:25" ht="50.1" customHeight="1" x14ac:dyDescent="0.25">
      <c r="B20" s="13">
        <f>TBPInd!A15</f>
        <v>3.1</v>
      </c>
      <c r="C20" s="18" t="str">
        <f>TBPInd!B15</f>
        <v>Used differentiated, developmentally appropriate learning experiences to address learners’ gender, needs, strengths, interests and experiences</v>
      </c>
      <c r="D20" s="13" t="str">
        <f>TBPInd!D15</f>
        <v>COI</v>
      </c>
      <c r="E20" s="13">
        <f>TBPInd!E15</f>
        <v>1</v>
      </c>
      <c r="F20" s="46"/>
      <c r="G20" s="81"/>
      <c r="H20" s="261" t="b">
        <v>0</v>
      </c>
      <c r="I20" s="6" t="b">
        <f t="shared" si="3"/>
        <v>1</v>
      </c>
      <c r="J20" s="137"/>
      <c r="K20" s="137"/>
      <c r="L20" s="137"/>
      <c r="M20" s="137"/>
      <c r="N20" s="137"/>
      <c r="Q20" s="6" t="b">
        <f t="shared" si="4"/>
        <v>0</v>
      </c>
      <c r="R20" s="6" t="b">
        <f t="shared" si="4"/>
        <v>0</v>
      </c>
      <c r="S20" s="6" t="b">
        <f t="shared" si="4"/>
        <v>0</v>
      </c>
      <c r="T20" s="6" t="b">
        <f t="shared" si="4"/>
        <v>0</v>
      </c>
      <c r="U20" s="6" t="b">
        <f t="shared" si="1"/>
        <v>1</v>
      </c>
      <c r="V20" s="6" t="b">
        <f t="shared" si="5"/>
        <v>1</v>
      </c>
      <c r="W20" s="6" t="b">
        <f t="shared" si="5"/>
        <v>1</v>
      </c>
      <c r="X20" s="6" t="b">
        <f t="shared" si="5"/>
        <v>1</v>
      </c>
      <c r="Y20" s="6" t="b">
        <f t="shared" si="5"/>
        <v>1</v>
      </c>
    </row>
    <row r="21" spans="2:25" ht="50.1" customHeight="1" x14ac:dyDescent="0.25">
      <c r="B21" s="13">
        <f>TBPInd!A16</f>
        <v>3.2</v>
      </c>
      <c r="C21" s="18" t="str">
        <f>TBPInd!B16</f>
        <v>Established a learner- centered culture by using teaching strategies that respond to their linguistic, cultural, socioeconomic and religious backgrounds</v>
      </c>
      <c r="D21" s="13" t="str">
        <f>TBPInd!D16</f>
        <v>NCOI</v>
      </c>
      <c r="E21" s="13">
        <f>TBPInd!E16</f>
        <v>2</v>
      </c>
      <c r="F21" s="46"/>
      <c r="G21" s="81"/>
      <c r="H21" s="261" t="b">
        <v>0</v>
      </c>
      <c r="I21" s="6" t="b">
        <f t="shared" si="3"/>
        <v>1</v>
      </c>
      <c r="J21" s="137"/>
      <c r="K21" s="137"/>
      <c r="L21" s="137"/>
      <c r="M21" s="137"/>
      <c r="N21" s="137"/>
      <c r="Q21" s="6" t="b">
        <f t="shared" si="4"/>
        <v>0</v>
      </c>
      <c r="R21" s="6" t="b">
        <f t="shared" si="4"/>
        <v>0</v>
      </c>
      <c r="S21" s="6" t="b">
        <f t="shared" si="4"/>
        <v>0</v>
      </c>
      <c r="T21" s="6" t="b">
        <f t="shared" si="4"/>
        <v>0</v>
      </c>
      <c r="U21" s="6" t="b">
        <f t="shared" si="1"/>
        <v>1</v>
      </c>
      <c r="V21" s="6" t="b">
        <f t="shared" si="5"/>
        <v>1</v>
      </c>
      <c r="W21" s="6" t="b">
        <f t="shared" si="5"/>
        <v>1</v>
      </c>
      <c r="X21" s="6" t="b">
        <f t="shared" si="5"/>
        <v>1</v>
      </c>
      <c r="Y21" s="6" t="b">
        <f t="shared" si="5"/>
        <v>1</v>
      </c>
    </row>
    <row r="22" spans="2:25" ht="50.1" customHeight="1" x14ac:dyDescent="0.25">
      <c r="B22" s="13">
        <f>TBPInd!A17</f>
        <v>3.3</v>
      </c>
      <c r="C22" s="18" t="str">
        <f>TBPInd!B17</f>
        <v>Designed, adapted and implemented teaching strategies that are responsive to learners with disabilities, giftedness and talents</v>
      </c>
      <c r="D22" s="13" t="str">
        <f>TBPInd!D17</f>
        <v>COI/NCOI</v>
      </c>
      <c r="E22" s="13">
        <f>TBPInd!E17</f>
        <v>3</v>
      </c>
      <c r="F22" s="46"/>
      <c r="G22" s="81"/>
      <c r="H22" s="261" t="b">
        <v>0</v>
      </c>
      <c r="I22" s="6" t="b">
        <f t="shared" si="3"/>
        <v>1</v>
      </c>
      <c r="J22" s="137"/>
      <c r="K22" s="137"/>
      <c r="L22" s="137"/>
      <c r="M22" s="137"/>
      <c r="N22" s="137"/>
      <c r="Q22" s="6" t="b">
        <f t="shared" si="4"/>
        <v>0</v>
      </c>
      <c r="R22" s="6" t="b">
        <f t="shared" si="4"/>
        <v>0</v>
      </c>
      <c r="S22" s="6" t="b">
        <f t="shared" si="4"/>
        <v>0</v>
      </c>
      <c r="T22" s="6" t="b">
        <f t="shared" si="4"/>
        <v>0</v>
      </c>
      <c r="U22" s="6" t="b">
        <f t="shared" si="1"/>
        <v>1</v>
      </c>
      <c r="V22" s="6" t="b">
        <f t="shared" si="5"/>
        <v>1</v>
      </c>
      <c r="W22" s="6" t="b">
        <f t="shared" si="5"/>
        <v>1</v>
      </c>
      <c r="X22" s="6" t="b">
        <f t="shared" si="5"/>
        <v>1</v>
      </c>
      <c r="Y22" s="6" t="b">
        <f t="shared" si="5"/>
        <v>1</v>
      </c>
    </row>
    <row r="23" spans="2:25" ht="72.599999999999994" customHeight="1" x14ac:dyDescent="0.25">
      <c r="B23" s="13">
        <f>TBPInd!A18</f>
        <v>3.4</v>
      </c>
      <c r="C23" s="18" t="str">
        <f>TBPInd!B18</f>
        <v>Planned and delivered teaching strategies that are responsive to the special educational needs of learners in difficult circumstances*, including: geographic isolation; chronic illness; displacement due to armed conflict, urban resettlement or disasters; child abuse and child labor practices</v>
      </c>
      <c r="D23" s="13" t="str">
        <f>TBPInd!D18</f>
        <v>COI</v>
      </c>
      <c r="E23" s="13">
        <f>TBPInd!E18</f>
        <v>2</v>
      </c>
      <c r="F23" s="46"/>
      <c r="G23" s="81"/>
      <c r="H23" s="261" t="b">
        <v>0</v>
      </c>
      <c r="I23" s="6" t="b">
        <f t="shared" si="3"/>
        <v>1</v>
      </c>
      <c r="J23" s="137"/>
      <c r="K23" s="137"/>
      <c r="L23" s="137"/>
      <c r="M23" s="137"/>
      <c r="N23" s="137"/>
      <c r="Q23" s="6" t="b">
        <f t="shared" si="4"/>
        <v>0</v>
      </c>
      <c r="R23" s="6" t="b">
        <f t="shared" si="4"/>
        <v>0</v>
      </c>
      <c r="S23" s="6" t="b">
        <f t="shared" si="4"/>
        <v>0</v>
      </c>
      <c r="T23" s="6" t="b">
        <f t="shared" si="4"/>
        <v>0</v>
      </c>
      <c r="U23" s="6" t="b">
        <f t="shared" si="1"/>
        <v>1</v>
      </c>
      <c r="V23" s="6" t="b">
        <f t="shared" si="5"/>
        <v>1</v>
      </c>
      <c r="W23" s="6" t="b">
        <f t="shared" si="5"/>
        <v>1</v>
      </c>
      <c r="X23" s="6" t="b">
        <f t="shared" si="5"/>
        <v>1</v>
      </c>
      <c r="Y23" s="6" t="b">
        <f t="shared" si="5"/>
        <v>1</v>
      </c>
    </row>
    <row r="24" spans="2:25" ht="50.1" customHeight="1" x14ac:dyDescent="0.25">
      <c r="B24" s="13">
        <f>TBPInd!A19</f>
        <v>3.5</v>
      </c>
      <c r="C24" s="18" t="str">
        <f>TBPInd!B19</f>
        <v>Adapted and used culturally appropriate teaching strategies to address the needs of learners from indigenous groups</v>
      </c>
      <c r="D24" s="13" t="str">
        <f>TBPInd!D19</f>
        <v>COI/NCOI</v>
      </c>
      <c r="E24" s="13">
        <f>TBPInd!E19</f>
        <v>3</v>
      </c>
      <c r="F24" s="46"/>
      <c r="G24" s="81"/>
      <c r="H24" s="261" t="b">
        <v>0</v>
      </c>
      <c r="I24" s="6" t="b">
        <f t="shared" si="3"/>
        <v>1</v>
      </c>
      <c r="J24" s="137"/>
      <c r="K24" s="137"/>
      <c r="L24" s="137"/>
      <c r="M24" s="137"/>
      <c r="N24" s="137"/>
      <c r="Q24" s="6" t="b">
        <f t="shared" si="4"/>
        <v>0</v>
      </c>
      <c r="R24" s="6" t="b">
        <f t="shared" si="4"/>
        <v>0</v>
      </c>
      <c r="S24" s="6" t="b">
        <f t="shared" si="4"/>
        <v>0</v>
      </c>
      <c r="T24" s="6" t="b">
        <f t="shared" si="4"/>
        <v>0</v>
      </c>
      <c r="U24" s="6" t="b">
        <f t="shared" si="1"/>
        <v>1</v>
      </c>
      <c r="V24" s="6" t="b">
        <f t="shared" si="5"/>
        <v>1</v>
      </c>
      <c r="W24" s="6" t="b">
        <f t="shared" si="5"/>
        <v>1</v>
      </c>
      <c r="X24" s="6" t="b">
        <f t="shared" si="5"/>
        <v>1</v>
      </c>
      <c r="Y24" s="6" t="b">
        <f t="shared" si="5"/>
        <v>1</v>
      </c>
    </row>
    <row r="25" spans="2:25" s="7" customFormat="1" x14ac:dyDescent="0.25">
      <c r="B25" s="347" t="s">
        <v>898</v>
      </c>
      <c r="C25" s="347"/>
      <c r="D25" s="347"/>
      <c r="E25" s="347"/>
      <c r="F25" s="348"/>
      <c r="G25" s="203"/>
      <c r="H25" s="6"/>
      <c r="I25" s="6" t="b">
        <f t="shared" si="3"/>
        <v>1</v>
      </c>
      <c r="J25" s="13"/>
      <c r="K25" s="13"/>
      <c r="L25" s="13"/>
      <c r="M25" s="13"/>
      <c r="N25" s="13"/>
      <c r="Q25" s="6" t="b">
        <f t="shared" si="4"/>
        <v>0</v>
      </c>
      <c r="R25" s="6" t="b">
        <f t="shared" si="4"/>
        <v>0</v>
      </c>
      <c r="S25" s="6" t="b">
        <f t="shared" si="4"/>
        <v>0</v>
      </c>
      <c r="T25" s="6" t="b">
        <f t="shared" si="4"/>
        <v>0</v>
      </c>
      <c r="U25" s="6" t="b">
        <f t="shared" si="1"/>
        <v>1</v>
      </c>
      <c r="V25" s="6" t="b">
        <f t="shared" si="5"/>
        <v>1</v>
      </c>
      <c r="W25" s="6" t="b">
        <f t="shared" si="5"/>
        <v>1</v>
      </c>
      <c r="X25" s="6" t="b">
        <f t="shared" si="5"/>
        <v>1</v>
      </c>
      <c r="Y25" s="6" t="b">
        <f t="shared" si="5"/>
        <v>1</v>
      </c>
    </row>
    <row r="26" spans="2:25" ht="50.1" customHeight="1" x14ac:dyDescent="0.25">
      <c r="B26" s="13">
        <f>TBPInd!A20</f>
        <v>4.0999999999999996</v>
      </c>
      <c r="C26" s="18" t="str">
        <f>TBPInd!B20</f>
        <v>Planned, managed and implemented developmentally sequenced teaching and learning processes to meet curriculum requirements and varied teaching contexts</v>
      </c>
      <c r="D26" s="13" t="str">
        <f>TBPInd!D20</f>
        <v>COI</v>
      </c>
      <c r="E26" s="13">
        <f>TBPInd!E20</f>
        <v>1</v>
      </c>
      <c r="F26" s="46"/>
      <c r="G26" s="81"/>
      <c r="H26" s="261" t="b">
        <v>0</v>
      </c>
      <c r="I26" s="6" t="b">
        <f t="shared" si="3"/>
        <v>1</v>
      </c>
      <c r="J26" s="137"/>
      <c r="K26" s="137"/>
      <c r="L26" s="137"/>
      <c r="M26" s="137"/>
      <c r="N26" s="137"/>
      <c r="Q26" s="6" t="b">
        <f t="shared" si="4"/>
        <v>0</v>
      </c>
      <c r="R26" s="6" t="b">
        <f t="shared" si="4"/>
        <v>0</v>
      </c>
      <c r="S26" s="6" t="b">
        <f t="shared" si="4"/>
        <v>0</v>
      </c>
      <c r="T26" s="6" t="b">
        <f t="shared" si="4"/>
        <v>0</v>
      </c>
      <c r="U26" s="6" t="b">
        <f t="shared" si="1"/>
        <v>1</v>
      </c>
      <c r="V26" s="6" t="b">
        <f t="shared" si="5"/>
        <v>1</v>
      </c>
      <c r="W26" s="6" t="b">
        <f t="shared" si="5"/>
        <v>1</v>
      </c>
      <c r="X26" s="6" t="b">
        <f t="shared" si="5"/>
        <v>1</v>
      </c>
      <c r="Y26" s="6" t="b">
        <f t="shared" si="5"/>
        <v>1</v>
      </c>
    </row>
    <row r="27" spans="2:25" ht="50.1" customHeight="1" x14ac:dyDescent="0.25">
      <c r="B27" s="13">
        <f>TBPInd!A21</f>
        <v>4.2</v>
      </c>
      <c r="C27" s="18" t="str">
        <f>TBPInd!B21</f>
        <v>Set achievable and appropriate learning outcomes that are aligned with learning competencies</v>
      </c>
      <c r="D27" s="13" t="str">
        <f>TBPInd!D21</f>
        <v>NCOI</v>
      </c>
      <c r="E27" s="13">
        <f>TBPInd!E21</f>
        <v>2</v>
      </c>
      <c r="F27" s="46"/>
      <c r="G27" s="81"/>
      <c r="H27" s="261" t="b">
        <v>0</v>
      </c>
      <c r="I27" s="6" t="b">
        <f t="shared" si="3"/>
        <v>1</v>
      </c>
      <c r="J27" s="137"/>
      <c r="K27" s="137"/>
      <c r="L27" s="137"/>
      <c r="M27" s="137"/>
      <c r="N27" s="137"/>
      <c r="Q27" s="6" t="b">
        <f t="shared" si="4"/>
        <v>0</v>
      </c>
      <c r="R27" s="6" t="b">
        <f t="shared" si="4"/>
        <v>0</v>
      </c>
      <c r="S27" s="6" t="b">
        <f t="shared" si="4"/>
        <v>0</v>
      </c>
      <c r="T27" s="6" t="b">
        <f t="shared" si="4"/>
        <v>0</v>
      </c>
      <c r="U27" s="6" t="b">
        <f t="shared" si="1"/>
        <v>1</v>
      </c>
      <c r="V27" s="6" t="b">
        <f t="shared" si="5"/>
        <v>1</v>
      </c>
      <c r="W27" s="6" t="b">
        <f t="shared" si="5"/>
        <v>1</v>
      </c>
      <c r="X27" s="6" t="b">
        <f t="shared" si="5"/>
        <v>1</v>
      </c>
      <c r="Y27" s="6" t="b">
        <f t="shared" si="5"/>
        <v>1</v>
      </c>
    </row>
    <row r="28" spans="2:25" ht="50.1" customHeight="1" x14ac:dyDescent="0.25">
      <c r="B28" s="13">
        <f>TBPInd!A22</f>
        <v>4.3</v>
      </c>
      <c r="C28" s="18" t="str">
        <f>TBPInd!B22</f>
        <v>Adapted and implemented learning programs that ensure relevance and responsiveness to the needs of all learners</v>
      </c>
      <c r="D28" s="13" t="str">
        <f>TBPInd!D22</f>
        <v>NCOI</v>
      </c>
      <c r="E28" s="13">
        <f>TBPInd!E22</f>
        <v>3</v>
      </c>
      <c r="F28" s="46"/>
      <c r="G28" s="81"/>
      <c r="H28" s="261" t="b">
        <v>0</v>
      </c>
      <c r="I28" s="6" t="b">
        <f t="shared" si="3"/>
        <v>1</v>
      </c>
      <c r="J28" s="137"/>
      <c r="K28" s="137"/>
      <c r="L28" s="137"/>
      <c r="M28" s="137"/>
      <c r="N28" s="137"/>
      <c r="Q28" s="6" t="b">
        <f t="shared" si="4"/>
        <v>0</v>
      </c>
      <c r="R28" s="6" t="b">
        <f t="shared" si="4"/>
        <v>0</v>
      </c>
      <c r="S28" s="6" t="b">
        <f t="shared" si="4"/>
        <v>0</v>
      </c>
      <c r="T28" s="6" t="b">
        <f t="shared" si="4"/>
        <v>0</v>
      </c>
      <c r="U28" s="6" t="b">
        <f t="shared" si="1"/>
        <v>1</v>
      </c>
      <c r="V28" s="6" t="b">
        <f t="shared" si="5"/>
        <v>1</v>
      </c>
      <c r="W28" s="6" t="b">
        <f t="shared" si="5"/>
        <v>1</v>
      </c>
      <c r="X28" s="6" t="b">
        <f t="shared" si="5"/>
        <v>1</v>
      </c>
      <c r="Y28" s="6" t="b">
        <f t="shared" si="5"/>
        <v>1</v>
      </c>
    </row>
    <row r="29" spans="2:25" ht="50.1" customHeight="1" x14ac:dyDescent="0.25">
      <c r="B29" s="13">
        <f>TBPInd!A23</f>
        <v>4.4000000000000004</v>
      </c>
      <c r="C29" s="18" t="str">
        <f>TBPInd!B23</f>
        <v>Participated in collegial discussions that use teacher and learner feedback to  enrich teaching practice</v>
      </c>
      <c r="D29" s="13" t="str">
        <f>TBPInd!D23</f>
        <v>NCOI</v>
      </c>
      <c r="E29" s="13">
        <f>TBPInd!E23</f>
        <v>1</v>
      </c>
      <c r="F29" s="46"/>
      <c r="G29" s="81"/>
      <c r="H29" s="261" t="b">
        <v>0</v>
      </c>
      <c r="I29" s="6" t="b">
        <f t="shared" si="3"/>
        <v>1</v>
      </c>
      <c r="J29" s="137"/>
      <c r="K29" s="137"/>
      <c r="L29" s="137"/>
      <c r="M29" s="137"/>
      <c r="N29" s="137"/>
      <c r="Q29" s="6" t="b">
        <f t="shared" si="4"/>
        <v>0</v>
      </c>
      <c r="R29" s="6" t="b">
        <f t="shared" si="4"/>
        <v>0</v>
      </c>
      <c r="S29" s="6" t="b">
        <f t="shared" si="4"/>
        <v>0</v>
      </c>
      <c r="T29" s="6" t="b">
        <f t="shared" si="4"/>
        <v>0</v>
      </c>
      <c r="U29" s="6" t="b">
        <f t="shared" si="1"/>
        <v>1</v>
      </c>
      <c r="V29" s="6" t="b">
        <f t="shared" si="5"/>
        <v>1</v>
      </c>
      <c r="W29" s="6" t="b">
        <f t="shared" si="5"/>
        <v>1</v>
      </c>
      <c r="X29" s="6" t="b">
        <f t="shared" si="5"/>
        <v>1</v>
      </c>
      <c r="Y29" s="6" t="b">
        <f t="shared" si="5"/>
        <v>1</v>
      </c>
    </row>
    <row r="30" spans="2:25" ht="50.1" customHeight="1" x14ac:dyDescent="0.25">
      <c r="B30" s="13">
        <f>TBPInd!A24</f>
        <v>4.5</v>
      </c>
      <c r="C30" s="18" t="str">
        <f>TBPInd!B24</f>
        <v>Selected, developed, organized and used appropriate teaching and learning resources, including ICT, to address learning goals</v>
      </c>
      <c r="D30" s="13" t="str">
        <f>TBPInd!D24</f>
        <v>COI</v>
      </c>
      <c r="E30" s="13">
        <f>TBPInd!E24</f>
        <v>2</v>
      </c>
      <c r="F30" s="46"/>
      <c r="G30" s="81"/>
      <c r="H30" s="261" t="b">
        <v>0</v>
      </c>
      <c r="I30" s="6" t="b">
        <f t="shared" si="3"/>
        <v>1</v>
      </c>
      <c r="J30" s="137"/>
      <c r="K30" s="137"/>
      <c r="L30" s="137"/>
      <c r="M30" s="137"/>
      <c r="N30" s="137"/>
      <c r="Q30" s="6" t="b">
        <f t="shared" si="4"/>
        <v>0</v>
      </c>
      <c r="R30" s="6" t="b">
        <f t="shared" si="4"/>
        <v>0</v>
      </c>
      <c r="S30" s="6" t="b">
        <f t="shared" si="4"/>
        <v>0</v>
      </c>
      <c r="T30" s="6" t="b">
        <f t="shared" si="4"/>
        <v>0</v>
      </c>
      <c r="U30" s="6" t="b">
        <f t="shared" si="1"/>
        <v>1</v>
      </c>
      <c r="V30" s="6" t="b">
        <f t="shared" si="5"/>
        <v>1</v>
      </c>
      <c r="W30" s="6" t="b">
        <f t="shared" si="5"/>
        <v>1</v>
      </c>
      <c r="X30" s="6" t="b">
        <f t="shared" si="5"/>
        <v>1</v>
      </c>
      <c r="Y30" s="6" t="b">
        <f t="shared" si="5"/>
        <v>1</v>
      </c>
    </row>
    <row r="31" spans="2:25" s="7" customFormat="1" x14ac:dyDescent="0.25">
      <c r="B31" s="347" t="s">
        <v>899</v>
      </c>
      <c r="C31" s="347"/>
      <c r="D31" s="347"/>
      <c r="E31" s="347"/>
      <c r="F31" s="348"/>
      <c r="G31" s="203"/>
      <c r="H31" s="6"/>
      <c r="I31" s="6" t="b">
        <f t="shared" si="3"/>
        <v>1</v>
      </c>
      <c r="J31" s="13"/>
      <c r="K31" s="13"/>
      <c r="L31" s="13"/>
      <c r="M31" s="13"/>
      <c r="N31" s="13"/>
      <c r="Q31" s="6" t="b">
        <f t="shared" si="4"/>
        <v>0</v>
      </c>
      <c r="R31" s="6" t="b">
        <f t="shared" si="4"/>
        <v>0</v>
      </c>
      <c r="S31" s="6" t="b">
        <f t="shared" si="4"/>
        <v>0</v>
      </c>
      <c r="T31" s="6" t="b">
        <f t="shared" si="4"/>
        <v>0</v>
      </c>
      <c r="U31" s="6" t="b">
        <f t="shared" si="1"/>
        <v>1</v>
      </c>
      <c r="V31" s="6" t="b">
        <f t="shared" si="5"/>
        <v>1</v>
      </c>
      <c r="W31" s="6" t="b">
        <f t="shared" si="5"/>
        <v>1</v>
      </c>
      <c r="X31" s="6" t="b">
        <f t="shared" si="5"/>
        <v>1</v>
      </c>
      <c r="Y31" s="6" t="b">
        <f t="shared" si="5"/>
        <v>1</v>
      </c>
    </row>
    <row r="32" spans="2:25" ht="50.1" customHeight="1" x14ac:dyDescent="0.25">
      <c r="B32" s="13">
        <f>TBPInd!A25</f>
        <v>5.0999999999999996</v>
      </c>
      <c r="C32" s="18" t="str">
        <f>TBPInd!B25</f>
        <v>Designed, selected, organized and used diagnostic, formative and summative assessment strategies consistent with curriculum requirements</v>
      </c>
      <c r="D32" s="13" t="str">
        <f>TBPInd!D25</f>
        <v>COI</v>
      </c>
      <c r="E32" s="13">
        <f>TBPInd!E25</f>
        <v>1</v>
      </c>
      <c r="F32" s="46"/>
      <c r="G32" s="81"/>
      <c r="H32" s="261" t="b">
        <v>0</v>
      </c>
      <c r="I32" s="6" t="b">
        <f t="shared" si="3"/>
        <v>1</v>
      </c>
      <c r="J32" s="137"/>
      <c r="K32" s="137"/>
      <c r="L32" s="137"/>
      <c r="M32" s="137"/>
      <c r="N32" s="137"/>
      <c r="Q32" s="6" t="b">
        <f t="shared" si="4"/>
        <v>0</v>
      </c>
      <c r="R32" s="6" t="b">
        <f t="shared" si="4"/>
        <v>0</v>
      </c>
      <c r="S32" s="6" t="b">
        <f t="shared" si="4"/>
        <v>0</v>
      </c>
      <c r="T32" s="6" t="b">
        <f t="shared" si="4"/>
        <v>0</v>
      </c>
      <c r="U32" s="6" t="b">
        <f t="shared" si="1"/>
        <v>1</v>
      </c>
      <c r="V32" s="6" t="b">
        <f t="shared" si="5"/>
        <v>1</v>
      </c>
      <c r="W32" s="6" t="b">
        <f t="shared" si="5"/>
        <v>1</v>
      </c>
      <c r="X32" s="6" t="b">
        <f t="shared" si="5"/>
        <v>1</v>
      </c>
      <c r="Y32" s="6" t="b">
        <f t="shared" si="5"/>
        <v>1</v>
      </c>
    </row>
    <row r="33" spans="2:25" ht="50.1" customHeight="1" x14ac:dyDescent="0.25">
      <c r="B33" s="13">
        <f>TBPInd!A26</f>
        <v>5.2</v>
      </c>
      <c r="C33" s="18" t="str">
        <f>TBPInd!B26</f>
        <v>Monitored and evaluated learner progress and achievement using learner attainment data</v>
      </c>
      <c r="D33" s="13" t="str">
        <f>TBPInd!D26</f>
        <v>NCOI</v>
      </c>
      <c r="E33" s="13">
        <f>TBPInd!E26</f>
        <v>1</v>
      </c>
      <c r="F33" s="46"/>
      <c r="G33" s="81"/>
      <c r="H33" s="261" t="b">
        <v>0</v>
      </c>
      <c r="I33" s="6" t="b">
        <f t="shared" si="3"/>
        <v>1</v>
      </c>
      <c r="J33" s="137"/>
      <c r="K33" s="137"/>
      <c r="L33" s="137"/>
      <c r="M33" s="137"/>
      <c r="N33" s="137"/>
      <c r="Q33" s="6" t="b">
        <f t="shared" si="4"/>
        <v>0</v>
      </c>
      <c r="R33" s="6" t="b">
        <f t="shared" si="4"/>
        <v>0</v>
      </c>
      <c r="S33" s="6" t="b">
        <f t="shared" si="4"/>
        <v>0</v>
      </c>
      <c r="T33" s="6" t="b">
        <f t="shared" si="4"/>
        <v>0</v>
      </c>
      <c r="U33" s="6" t="b">
        <f t="shared" si="1"/>
        <v>1</v>
      </c>
      <c r="V33" s="6" t="b">
        <f t="shared" si="5"/>
        <v>1</v>
      </c>
      <c r="W33" s="6" t="b">
        <f t="shared" si="5"/>
        <v>1</v>
      </c>
      <c r="X33" s="6" t="b">
        <f t="shared" si="5"/>
        <v>1</v>
      </c>
      <c r="Y33" s="6" t="b">
        <f t="shared" si="5"/>
        <v>1</v>
      </c>
    </row>
    <row r="34" spans="2:25" ht="50.1" customHeight="1" x14ac:dyDescent="0.25">
      <c r="B34" s="13">
        <f>TBPInd!A27</f>
        <v>5.3</v>
      </c>
      <c r="C34" s="18" t="str">
        <f>TBPInd!B27</f>
        <v>Used strategies for providing timely, accurate and constructive feedback to improve learner performance</v>
      </c>
      <c r="D34" s="13" t="str">
        <f>TBPInd!D27</f>
        <v>NCOI</v>
      </c>
      <c r="E34" s="13">
        <f>TBPInd!E27</f>
        <v>2</v>
      </c>
      <c r="F34" s="46"/>
      <c r="G34" s="81"/>
      <c r="H34" s="261" t="b">
        <v>0</v>
      </c>
      <c r="I34" s="6" t="b">
        <f t="shared" si="3"/>
        <v>1</v>
      </c>
      <c r="J34" s="137"/>
      <c r="K34" s="137"/>
      <c r="L34" s="137"/>
      <c r="M34" s="137"/>
      <c r="N34" s="137"/>
      <c r="Q34" s="6" t="b">
        <f t="shared" si="4"/>
        <v>0</v>
      </c>
      <c r="R34" s="6" t="b">
        <f t="shared" si="4"/>
        <v>0</v>
      </c>
      <c r="S34" s="6" t="b">
        <f t="shared" si="4"/>
        <v>0</v>
      </c>
      <c r="T34" s="6" t="b">
        <f t="shared" si="4"/>
        <v>0</v>
      </c>
      <c r="U34" s="6" t="b">
        <f t="shared" si="1"/>
        <v>1</v>
      </c>
      <c r="V34" s="6" t="b">
        <f t="shared" si="5"/>
        <v>1</v>
      </c>
      <c r="W34" s="6" t="b">
        <f t="shared" si="5"/>
        <v>1</v>
      </c>
      <c r="X34" s="6" t="b">
        <f t="shared" si="5"/>
        <v>1</v>
      </c>
      <c r="Y34" s="6" t="b">
        <f t="shared" si="5"/>
        <v>1</v>
      </c>
    </row>
    <row r="35" spans="2:25" ht="50.1" customHeight="1" x14ac:dyDescent="0.25">
      <c r="B35" s="13">
        <f>TBPInd!A28</f>
        <v>5.4</v>
      </c>
      <c r="C35" s="18" t="str">
        <f>TBPInd!B28</f>
        <v>Communicated promptly and clearly the learners’ needs, progress and achievement  to key stakeholders, including parents/guardians</v>
      </c>
      <c r="D35" s="13" t="str">
        <f>TBPInd!D28</f>
        <v>NCOI</v>
      </c>
      <c r="E35" s="13">
        <f>TBPInd!E28</f>
        <v>1</v>
      </c>
      <c r="F35" s="46"/>
      <c r="G35" s="81"/>
      <c r="H35" s="261" t="b">
        <v>0</v>
      </c>
      <c r="I35" s="6" t="b">
        <f t="shared" si="3"/>
        <v>1</v>
      </c>
      <c r="J35" s="137"/>
      <c r="K35" s="137"/>
      <c r="L35" s="137"/>
      <c r="M35" s="137"/>
      <c r="N35" s="137"/>
      <c r="Q35" s="6" t="b">
        <f t="shared" si="4"/>
        <v>0</v>
      </c>
      <c r="R35" s="6" t="b">
        <f t="shared" si="4"/>
        <v>0</v>
      </c>
      <c r="S35" s="6" t="b">
        <f t="shared" si="4"/>
        <v>0</v>
      </c>
      <c r="T35" s="6" t="b">
        <f t="shared" si="4"/>
        <v>0</v>
      </c>
      <c r="U35" s="6" t="b">
        <f t="shared" si="1"/>
        <v>1</v>
      </c>
      <c r="V35" s="6" t="b">
        <f t="shared" si="5"/>
        <v>1</v>
      </c>
      <c r="W35" s="6" t="b">
        <f t="shared" si="5"/>
        <v>1</v>
      </c>
      <c r="X35" s="6" t="b">
        <f t="shared" si="5"/>
        <v>1</v>
      </c>
      <c r="Y35" s="6" t="b">
        <f t="shared" si="5"/>
        <v>1</v>
      </c>
    </row>
    <row r="36" spans="2:25" ht="50.1" customHeight="1" x14ac:dyDescent="0.25">
      <c r="B36" s="13">
        <f>TBPInd!A29</f>
        <v>5.5</v>
      </c>
      <c r="C36" s="18" t="str">
        <f>TBPInd!B29</f>
        <v>Utilized assessment data to inform the modification of teaching and learning practices and programs</v>
      </c>
      <c r="D36" s="13" t="str">
        <f>TBPInd!D29</f>
        <v>NCOI</v>
      </c>
      <c r="E36" s="13">
        <f>TBPInd!E29</f>
        <v>3</v>
      </c>
      <c r="F36" s="46"/>
      <c r="G36" s="81"/>
      <c r="H36" s="261" t="b">
        <v>0</v>
      </c>
      <c r="I36" s="6" t="b">
        <f t="shared" si="3"/>
        <v>1</v>
      </c>
      <c r="J36" s="137"/>
      <c r="K36" s="137"/>
      <c r="L36" s="137"/>
      <c r="M36" s="137"/>
      <c r="N36" s="137"/>
      <c r="Q36" s="6" t="b">
        <f t="shared" si="4"/>
        <v>0</v>
      </c>
      <c r="R36" s="6" t="b">
        <f t="shared" si="4"/>
        <v>0</v>
      </c>
      <c r="S36" s="6" t="b">
        <f t="shared" si="4"/>
        <v>0</v>
      </c>
      <c r="T36" s="6" t="b">
        <f t="shared" si="4"/>
        <v>0</v>
      </c>
      <c r="U36" s="6" t="b">
        <f t="shared" si="1"/>
        <v>1</v>
      </c>
      <c r="V36" s="6" t="b">
        <f t="shared" si="5"/>
        <v>1</v>
      </c>
      <c r="W36" s="6" t="b">
        <f t="shared" si="5"/>
        <v>1</v>
      </c>
      <c r="X36" s="6" t="b">
        <f t="shared" si="5"/>
        <v>1</v>
      </c>
      <c r="Y36" s="6" t="b">
        <f t="shared" si="5"/>
        <v>1</v>
      </c>
    </row>
    <row r="37" spans="2:25" s="7" customFormat="1" x14ac:dyDescent="0.25">
      <c r="B37" s="347" t="s">
        <v>900</v>
      </c>
      <c r="C37" s="347"/>
      <c r="D37" s="347"/>
      <c r="E37" s="347"/>
      <c r="F37" s="348"/>
      <c r="G37" s="203"/>
      <c r="H37" s="6"/>
      <c r="I37" s="6" t="b">
        <f t="shared" si="3"/>
        <v>1</v>
      </c>
      <c r="J37" s="13"/>
      <c r="K37" s="13"/>
      <c r="L37" s="13"/>
      <c r="M37" s="13"/>
      <c r="N37" s="13"/>
      <c r="Q37" s="6" t="b">
        <f t="shared" si="4"/>
        <v>0</v>
      </c>
      <c r="R37" s="6" t="b">
        <f t="shared" si="4"/>
        <v>0</v>
      </c>
      <c r="S37" s="6" t="b">
        <f t="shared" si="4"/>
        <v>0</v>
      </c>
      <c r="T37" s="6" t="b">
        <f t="shared" si="4"/>
        <v>0</v>
      </c>
      <c r="U37" s="6" t="b">
        <f t="shared" si="1"/>
        <v>1</v>
      </c>
      <c r="V37" s="6" t="b">
        <f t="shared" si="5"/>
        <v>1</v>
      </c>
      <c r="W37" s="6" t="b">
        <f t="shared" si="5"/>
        <v>1</v>
      </c>
      <c r="X37" s="6" t="b">
        <f t="shared" si="5"/>
        <v>1</v>
      </c>
      <c r="Y37" s="6" t="b">
        <f t="shared" si="5"/>
        <v>1</v>
      </c>
    </row>
    <row r="38" spans="2:25" ht="50.1" customHeight="1" x14ac:dyDescent="0.25">
      <c r="B38" s="13">
        <f>TBPInd!A30</f>
        <v>6.1</v>
      </c>
      <c r="C38" s="19" t="str">
        <f>TBPInd!B30</f>
        <v>Maintained learning environments that are responsive to community contexts</v>
      </c>
      <c r="D38" s="13" t="str">
        <f>TBPInd!D30</f>
        <v>NCOI</v>
      </c>
      <c r="E38" s="13">
        <f>TBPInd!E30</f>
        <v>3</v>
      </c>
      <c r="F38" s="46"/>
      <c r="G38" s="81"/>
      <c r="H38" s="261" t="b">
        <v>0</v>
      </c>
      <c r="I38" s="6" t="b">
        <f t="shared" si="3"/>
        <v>1</v>
      </c>
      <c r="J38" s="137"/>
      <c r="K38" s="137"/>
      <c r="L38" s="137"/>
      <c r="M38" s="137"/>
      <c r="N38" s="137"/>
      <c r="Q38" s="6" t="b">
        <f t="shared" si="4"/>
        <v>0</v>
      </c>
      <c r="R38" s="6" t="b">
        <f t="shared" si="4"/>
        <v>0</v>
      </c>
      <c r="S38" s="6" t="b">
        <f t="shared" si="4"/>
        <v>0</v>
      </c>
      <c r="T38" s="6" t="b">
        <f t="shared" si="4"/>
        <v>0</v>
      </c>
      <c r="U38" s="6" t="b">
        <f t="shared" si="1"/>
        <v>1</v>
      </c>
      <c r="V38" s="6" t="b">
        <f t="shared" si="5"/>
        <v>1</v>
      </c>
      <c r="W38" s="6" t="b">
        <f t="shared" si="5"/>
        <v>1</v>
      </c>
      <c r="X38" s="6" t="b">
        <f t="shared" si="5"/>
        <v>1</v>
      </c>
      <c r="Y38" s="6" t="b">
        <f t="shared" si="5"/>
        <v>1</v>
      </c>
    </row>
    <row r="39" spans="2:25" ht="50.1" customHeight="1" x14ac:dyDescent="0.25">
      <c r="B39" s="13">
        <f>TBPInd!A31</f>
        <v>6.2</v>
      </c>
      <c r="C39" s="19" t="str">
        <f>TBPInd!B31</f>
        <v>Built relationships with parents/ guardians and the wider school community to facilitate involvement in the educative process</v>
      </c>
      <c r="D39" s="13" t="str">
        <f>TBPInd!D31</f>
        <v>NCOI</v>
      </c>
      <c r="E39" s="13">
        <f>TBPInd!E31</f>
        <v>2</v>
      </c>
      <c r="F39" s="46"/>
      <c r="G39" s="81"/>
      <c r="H39" s="261" t="b">
        <v>0</v>
      </c>
      <c r="I39" s="6" t="b">
        <f t="shared" si="3"/>
        <v>1</v>
      </c>
      <c r="J39" s="137"/>
      <c r="K39" s="137"/>
      <c r="L39" s="137"/>
      <c r="M39" s="137"/>
      <c r="N39" s="137"/>
      <c r="Q39" s="6" t="b">
        <f t="shared" si="4"/>
        <v>0</v>
      </c>
      <c r="R39" s="6" t="b">
        <f t="shared" si="4"/>
        <v>0</v>
      </c>
      <c r="S39" s="6" t="b">
        <f t="shared" si="4"/>
        <v>0</v>
      </c>
      <c r="T39" s="6" t="b">
        <f t="shared" si="4"/>
        <v>0</v>
      </c>
      <c r="U39" s="6" t="b">
        <f t="shared" si="1"/>
        <v>1</v>
      </c>
      <c r="V39" s="6" t="b">
        <f t="shared" si="5"/>
        <v>1</v>
      </c>
      <c r="W39" s="6" t="b">
        <f t="shared" si="5"/>
        <v>1</v>
      </c>
      <c r="X39" s="6" t="b">
        <f t="shared" si="5"/>
        <v>1</v>
      </c>
      <c r="Y39" s="6" t="b">
        <f t="shared" si="5"/>
        <v>1</v>
      </c>
    </row>
    <row r="40" spans="2:25" ht="50.1" customHeight="1" x14ac:dyDescent="0.25">
      <c r="B40" s="13">
        <f>TBPInd!A32</f>
        <v>6.3</v>
      </c>
      <c r="C40" s="19" t="str">
        <f>TBPInd!B32</f>
        <v>Reviewed regularly personal teaching practice using existing laws and regulations that apply to the teaching profession and the responsibilities specified in the Code of Ethics for Professional Teachers</v>
      </c>
      <c r="D40" s="13" t="str">
        <f>TBPInd!D32</f>
        <v>NCOI</v>
      </c>
      <c r="E40" s="13">
        <f>TBPInd!E32</f>
        <v>3</v>
      </c>
      <c r="F40" s="46"/>
      <c r="G40" s="81"/>
      <c r="H40" s="261" t="b">
        <v>0</v>
      </c>
      <c r="I40" s="6" t="b">
        <f t="shared" si="3"/>
        <v>1</v>
      </c>
      <c r="J40" s="137"/>
      <c r="K40" s="137"/>
      <c r="L40" s="137"/>
      <c r="M40" s="137"/>
      <c r="N40" s="137"/>
      <c r="Q40" s="6" t="b">
        <f t="shared" si="4"/>
        <v>0</v>
      </c>
      <c r="R40" s="6" t="b">
        <f t="shared" si="4"/>
        <v>0</v>
      </c>
      <c r="S40" s="6" t="b">
        <f t="shared" si="4"/>
        <v>0</v>
      </c>
      <c r="T40" s="6" t="b">
        <f t="shared" si="4"/>
        <v>0</v>
      </c>
      <c r="U40" s="6" t="b">
        <f t="shared" si="1"/>
        <v>1</v>
      </c>
      <c r="V40" s="6" t="b">
        <f t="shared" si="5"/>
        <v>1</v>
      </c>
      <c r="W40" s="6" t="b">
        <f t="shared" si="5"/>
        <v>1</v>
      </c>
      <c r="X40" s="6" t="b">
        <f t="shared" si="5"/>
        <v>1</v>
      </c>
      <c r="Y40" s="6" t="b">
        <f t="shared" si="5"/>
        <v>1</v>
      </c>
    </row>
    <row r="41" spans="2:25" ht="50.1" customHeight="1" x14ac:dyDescent="0.25">
      <c r="B41" s="13">
        <f>TBPInd!A33</f>
        <v>6.4</v>
      </c>
      <c r="C41" s="19" t="str">
        <f>TBPInd!B33</f>
        <v>Complied with and implemented school policies and procedures consistently to foster harmonious relationships with learners, parents, and other stakeholders</v>
      </c>
      <c r="D41" s="13" t="str">
        <f>TBPInd!D33</f>
        <v>NCOI</v>
      </c>
      <c r="E41" s="13">
        <f>TBPInd!E33</f>
        <v>3</v>
      </c>
      <c r="F41" s="46"/>
      <c r="G41" s="81"/>
      <c r="H41" s="261" t="b">
        <v>0</v>
      </c>
      <c r="I41" s="6" t="b">
        <f t="shared" si="3"/>
        <v>1</v>
      </c>
      <c r="J41" s="137"/>
      <c r="K41" s="137"/>
      <c r="L41" s="137"/>
      <c r="M41" s="137"/>
      <c r="N41" s="137"/>
      <c r="Q41" s="6" t="b">
        <f t="shared" si="4"/>
        <v>0</v>
      </c>
      <c r="R41" s="6" t="b">
        <f t="shared" si="4"/>
        <v>0</v>
      </c>
      <c r="S41" s="6" t="b">
        <f t="shared" si="4"/>
        <v>0</v>
      </c>
      <c r="T41" s="6" t="b">
        <f t="shared" si="4"/>
        <v>0</v>
      </c>
      <c r="U41" s="6" t="b">
        <f t="shared" si="1"/>
        <v>1</v>
      </c>
      <c r="V41" s="6" t="b">
        <f t="shared" si="5"/>
        <v>1</v>
      </c>
      <c r="W41" s="6" t="b">
        <f t="shared" si="5"/>
        <v>1</v>
      </c>
      <c r="X41" s="6" t="b">
        <f t="shared" si="5"/>
        <v>1</v>
      </c>
      <c r="Y41" s="6" t="b">
        <f t="shared" si="5"/>
        <v>1</v>
      </c>
    </row>
    <row r="42" spans="2:25" s="7" customFormat="1" x14ac:dyDescent="0.25">
      <c r="B42" s="347" t="s">
        <v>901</v>
      </c>
      <c r="C42" s="347"/>
      <c r="D42" s="347"/>
      <c r="E42" s="347"/>
      <c r="F42" s="348"/>
      <c r="G42" s="203"/>
      <c r="H42" s="6"/>
      <c r="I42" s="6" t="b">
        <f t="shared" si="3"/>
        <v>1</v>
      </c>
      <c r="J42" s="13"/>
      <c r="K42" s="13"/>
      <c r="L42" s="13"/>
      <c r="M42" s="13"/>
      <c r="N42" s="13"/>
      <c r="Q42" s="6" t="b">
        <f t="shared" si="4"/>
        <v>0</v>
      </c>
      <c r="R42" s="6" t="b">
        <f t="shared" si="4"/>
        <v>0</v>
      </c>
      <c r="S42" s="6" t="b">
        <f t="shared" si="4"/>
        <v>0</v>
      </c>
      <c r="T42" s="6" t="b">
        <f t="shared" si="4"/>
        <v>0</v>
      </c>
      <c r="U42" s="6" t="b">
        <f t="shared" si="1"/>
        <v>1</v>
      </c>
      <c r="V42" s="6" t="b">
        <f t="shared" si="5"/>
        <v>1</v>
      </c>
      <c r="W42" s="6" t="b">
        <f t="shared" si="5"/>
        <v>1</v>
      </c>
      <c r="X42" s="6" t="b">
        <f t="shared" si="5"/>
        <v>1</v>
      </c>
      <c r="Y42" s="6" t="b">
        <f t="shared" si="5"/>
        <v>1</v>
      </c>
    </row>
    <row r="43" spans="2:25" ht="50.1" customHeight="1" x14ac:dyDescent="0.25">
      <c r="B43" s="13">
        <f>TBPInd!A34</f>
        <v>7.1</v>
      </c>
      <c r="C43" s="19" t="str">
        <f>TBPInd!B34</f>
        <v>Applied a personal philosophy of teaching that is learner-centered</v>
      </c>
      <c r="D43" s="13" t="str">
        <f>TBPInd!D34</f>
        <v>NCOI</v>
      </c>
      <c r="E43" s="13">
        <f>TBPInd!E34</f>
        <v>3</v>
      </c>
      <c r="F43" s="46"/>
      <c r="G43" s="81"/>
      <c r="H43" s="261" t="b">
        <v>0</v>
      </c>
      <c r="I43" s="6" t="b">
        <f t="shared" si="3"/>
        <v>1</v>
      </c>
      <c r="J43" s="137"/>
      <c r="K43" s="137"/>
      <c r="L43" s="137"/>
      <c r="M43" s="137"/>
      <c r="N43" s="137"/>
      <c r="Q43" s="6" t="b">
        <f t="shared" si="4"/>
        <v>0</v>
      </c>
      <c r="R43" s="6" t="b">
        <f t="shared" si="4"/>
        <v>0</v>
      </c>
      <c r="S43" s="6" t="b">
        <f t="shared" si="4"/>
        <v>0</v>
      </c>
      <c r="T43" s="6" t="b">
        <f t="shared" si="4"/>
        <v>0</v>
      </c>
      <c r="U43" s="6" t="b">
        <f t="shared" si="1"/>
        <v>1</v>
      </c>
      <c r="V43" s="6" t="b">
        <f t="shared" si="5"/>
        <v>1</v>
      </c>
      <c r="W43" s="6" t="b">
        <f t="shared" si="5"/>
        <v>1</v>
      </c>
      <c r="X43" s="6" t="b">
        <f t="shared" si="5"/>
        <v>1</v>
      </c>
      <c r="Y43" s="6" t="b">
        <f t="shared" si="5"/>
        <v>1</v>
      </c>
    </row>
    <row r="44" spans="2:25" ht="50.1" customHeight="1" x14ac:dyDescent="0.25">
      <c r="B44" s="13">
        <f>TBPInd!A35</f>
        <v>7.2</v>
      </c>
      <c r="C44" s="19" t="str">
        <f>TBPInd!B35</f>
        <v>Adopted practices that uphold the dignity of teaching as a profession by exhibiting qualities such as caring attitude, respect and integrity</v>
      </c>
      <c r="D44" s="13" t="str">
        <f>TBPInd!D35</f>
        <v>NCOI</v>
      </c>
      <c r="E44" s="13">
        <f>TBPInd!E35</f>
        <v>3</v>
      </c>
      <c r="F44" s="46"/>
      <c r="G44" s="81"/>
      <c r="H44" s="261" t="b">
        <v>0</v>
      </c>
      <c r="I44" s="6" t="b">
        <f t="shared" si="3"/>
        <v>1</v>
      </c>
      <c r="J44" s="137"/>
      <c r="K44" s="137"/>
      <c r="L44" s="137"/>
      <c r="M44" s="137"/>
      <c r="N44" s="137"/>
      <c r="Q44" s="6" t="b">
        <f t="shared" si="4"/>
        <v>0</v>
      </c>
      <c r="R44" s="6" t="b">
        <f t="shared" si="4"/>
        <v>0</v>
      </c>
      <c r="S44" s="6" t="b">
        <f t="shared" si="4"/>
        <v>0</v>
      </c>
      <c r="T44" s="6" t="b">
        <f t="shared" si="4"/>
        <v>0</v>
      </c>
      <c r="U44" s="6" t="b">
        <f t="shared" si="1"/>
        <v>1</v>
      </c>
      <c r="V44" s="6" t="b">
        <f t="shared" si="5"/>
        <v>1</v>
      </c>
      <c r="W44" s="6" t="b">
        <f t="shared" si="5"/>
        <v>1</v>
      </c>
      <c r="X44" s="6" t="b">
        <f t="shared" si="5"/>
        <v>1</v>
      </c>
      <c r="Y44" s="6" t="b">
        <f t="shared" si="5"/>
        <v>1</v>
      </c>
    </row>
    <row r="45" spans="2:25" ht="50.1" customHeight="1" x14ac:dyDescent="0.25">
      <c r="B45" s="13">
        <f>TBPInd!A36</f>
        <v>7.3</v>
      </c>
      <c r="C45" s="19" t="str">
        <f>TBPInd!B36</f>
        <v>Participated in professional networks to share knowledge and to enhance practice</v>
      </c>
      <c r="D45" s="13" t="str">
        <f>TBPInd!D36</f>
        <v>NCOI</v>
      </c>
      <c r="E45" s="13">
        <f>TBPInd!E36</f>
        <v>2</v>
      </c>
      <c r="F45" s="46"/>
      <c r="G45" s="81"/>
      <c r="H45" s="261" t="b">
        <v>0</v>
      </c>
      <c r="I45" s="6" t="b">
        <f t="shared" si="3"/>
        <v>1</v>
      </c>
      <c r="J45" s="137"/>
      <c r="K45" s="137"/>
      <c r="L45" s="137"/>
      <c r="M45" s="137"/>
      <c r="N45" s="137"/>
      <c r="Q45" s="6" t="b">
        <f t="shared" si="4"/>
        <v>0</v>
      </c>
      <c r="R45" s="6" t="b">
        <f t="shared" si="4"/>
        <v>0</v>
      </c>
      <c r="S45" s="6" t="b">
        <f t="shared" si="4"/>
        <v>0</v>
      </c>
      <c r="T45" s="6" t="b">
        <f t="shared" si="4"/>
        <v>0</v>
      </c>
      <c r="U45" s="6" t="b">
        <f t="shared" si="1"/>
        <v>1</v>
      </c>
      <c r="V45" s="6" t="b">
        <f t="shared" si="5"/>
        <v>1</v>
      </c>
      <c r="W45" s="6" t="b">
        <f t="shared" si="5"/>
        <v>1</v>
      </c>
      <c r="X45" s="6" t="b">
        <f t="shared" si="5"/>
        <v>1</v>
      </c>
      <c r="Y45" s="6" t="b">
        <f t="shared" si="5"/>
        <v>1</v>
      </c>
    </row>
    <row r="46" spans="2:25" ht="50.1" customHeight="1" x14ac:dyDescent="0.25">
      <c r="B46" s="13">
        <f>TBPInd!A37</f>
        <v>7.4</v>
      </c>
      <c r="C46" s="19" t="str">
        <f>TBPInd!B37</f>
        <v>Developed a personal improvement plan based on reflection of one’s practice and ongoing professional learning</v>
      </c>
      <c r="D46" s="13" t="str">
        <f>TBPInd!D37</f>
        <v>NCOI</v>
      </c>
      <c r="E46" s="13">
        <f>TBPInd!E37</f>
        <v>2</v>
      </c>
      <c r="F46" s="46"/>
      <c r="G46" s="81"/>
      <c r="H46" s="261" t="b">
        <v>0</v>
      </c>
      <c r="I46" s="6" t="b">
        <f t="shared" si="3"/>
        <v>1</v>
      </c>
      <c r="J46" s="137"/>
      <c r="K46" s="137"/>
      <c r="L46" s="137"/>
      <c r="M46" s="137"/>
      <c r="N46" s="137"/>
      <c r="Q46" s="6" t="b">
        <f t="shared" si="4"/>
        <v>0</v>
      </c>
      <c r="R46" s="6" t="b">
        <f t="shared" si="4"/>
        <v>0</v>
      </c>
      <c r="S46" s="6" t="b">
        <f t="shared" si="4"/>
        <v>0</v>
      </c>
      <c r="T46" s="6" t="b">
        <f t="shared" si="4"/>
        <v>0</v>
      </c>
      <c r="U46" s="6" t="b">
        <f t="shared" si="1"/>
        <v>1</v>
      </c>
      <c r="V46" s="6" t="b">
        <f t="shared" si="5"/>
        <v>1</v>
      </c>
      <c r="W46" s="6" t="b">
        <f t="shared" si="5"/>
        <v>1</v>
      </c>
      <c r="X46" s="6" t="b">
        <f t="shared" si="5"/>
        <v>1</v>
      </c>
      <c r="Y46" s="6" t="b">
        <f t="shared" si="5"/>
        <v>1</v>
      </c>
    </row>
    <row r="47" spans="2:25" ht="50.1" customHeight="1" x14ac:dyDescent="0.25">
      <c r="B47" s="13">
        <f>TBPInd!A38</f>
        <v>7.5</v>
      </c>
      <c r="C47" s="19" t="str">
        <f>TBPInd!B38</f>
        <v>Set professional development goals based on the Philippine Professional Standards for Teachers</v>
      </c>
      <c r="D47" s="13" t="str">
        <f>TBPInd!D38</f>
        <v>NCOI</v>
      </c>
      <c r="E47" s="13">
        <f>TBPInd!E38</f>
        <v>3</v>
      </c>
      <c r="F47" s="46"/>
      <c r="G47" s="81"/>
      <c r="H47" s="261" t="b">
        <v>0</v>
      </c>
      <c r="I47" s="6" t="b">
        <f t="shared" si="3"/>
        <v>1</v>
      </c>
      <c r="J47" s="137"/>
      <c r="K47" s="137"/>
      <c r="L47" s="137"/>
      <c r="M47" s="137"/>
      <c r="N47" s="137"/>
      <c r="Q47" s="6" t="b">
        <f t="shared" si="4"/>
        <v>0</v>
      </c>
      <c r="R47" s="6" t="b">
        <f t="shared" si="4"/>
        <v>0</v>
      </c>
      <c r="S47" s="6" t="b">
        <f t="shared" si="4"/>
        <v>0</v>
      </c>
      <c r="T47" s="6" t="b">
        <f t="shared" si="4"/>
        <v>0</v>
      </c>
      <c r="U47" s="6" t="b">
        <f t="shared" si="1"/>
        <v>1</v>
      </c>
      <c r="V47" s="6" t="b">
        <f t="shared" si="5"/>
        <v>1</v>
      </c>
      <c r="W47" s="6" t="b">
        <f t="shared" si="5"/>
        <v>1</v>
      </c>
      <c r="X47" s="6" t="b">
        <f t="shared" si="5"/>
        <v>1</v>
      </c>
      <c r="Y47" s="6" t="b">
        <f t="shared" si="5"/>
        <v>1</v>
      </c>
    </row>
    <row r="48" spans="2:25" s="7" customFormat="1" x14ac:dyDescent="0.25">
      <c r="B48" s="347" t="s">
        <v>902</v>
      </c>
      <c r="C48" s="349"/>
      <c r="D48" s="350"/>
      <c r="E48" s="350"/>
      <c r="F48" s="349"/>
      <c r="G48" s="203"/>
      <c r="H48" s="6"/>
      <c r="I48" s="6" t="b">
        <f t="shared" si="3"/>
        <v>1</v>
      </c>
      <c r="J48" s="13"/>
      <c r="K48" s="13"/>
      <c r="L48" s="13"/>
      <c r="M48" s="13"/>
      <c r="N48" s="13"/>
      <c r="Q48" s="6" t="b">
        <f t="shared" si="4"/>
        <v>0</v>
      </c>
      <c r="R48" s="6" t="b">
        <f t="shared" si="4"/>
        <v>0</v>
      </c>
      <c r="S48" s="6" t="b">
        <f t="shared" si="4"/>
        <v>0</v>
      </c>
      <c r="T48" s="6" t="b">
        <f t="shared" si="4"/>
        <v>0</v>
      </c>
      <c r="U48" s="6" t="b">
        <f t="shared" si="1"/>
        <v>1</v>
      </c>
      <c r="V48" s="6" t="b">
        <f t="shared" si="5"/>
        <v>1</v>
      </c>
      <c r="W48" s="6" t="b">
        <f t="shared" si="5"/>
        <v>1</v>
      </c>
      <c r="X48" s="6" t="b">
        <f t="shared" si="5"/>
        <v>1</v>
      </c>
      <c r="Y48" s="6" t="b">
        <f t="shared" si="5"/>
        <v>1</v>
      </c>
    </row>
    <row r="49" spans="2:25" ht="50.1" customHeight="1" x14ac:dyDescent="0.25">
      <c r="B49" s="13">
        <f>TBPInd!A39</f>
        <v>15</v>
      </c>
      <c r="C49" s="18" t="str">
        <f>TBPInd!B39</f>
        <v>Performed various related works/activities that contribute to the teaching learning process</v>
      </c>
      <c r="D49" s="13" t="str">
        <f>TBPInd!D39</f>
        <v>NCOI</v>
      </c>
      <c r="E49" s="13">
        <f>TBPInd!E39</f>
        <v>2</v>
      </c>
      <c r="F49" s="46"/>
      <c r="G49" s="81"/>
      <c r="H49" s="6" t="b">
        <v>1</v>
      </c>
      <c r="I49" s="6" t="b">
        <f t="shared" si="3"/>
        <v>0</v>
      </c>
      <c r="J49" s="137"/>
      <c r="K49" s="137"/>
      <c r="L49" s="137"/>
      <c r="M49" s="137"/>
      <c r="N49" s="137"/>
      <c r="Q49" s="6" t="b">
        <f t="shared" si="4"/>
        <v>0</v>
      </c>
      <c r="R49" s="6" t="b">
        <f t="shared" si="4"/>
        <v>0</v>
      </c>
      <c r="S49" s="6" t="b">
        <f t="shared" si="4"/>
        <v>0</v>
      </c>
      <c r="T49" s="6" t="b">
        <f t="shared" si="4"/>
        <v>0</v>
      </c>
      <c r="U49" s="6" t="b">
        <f t="shared" si="1"/>
        <v>1</v>
      </c>
      <c r="V49" s="6" t="b">
        <f t="shared" si="5"/>
        <v>1</v>
      </c>
      <c r="W49" s="6" t="b">
        <f t="shared" si="5"/>
        <v>1</v>
      </c>
      <c r="X49" s="6" t="b">
        <f t="shared" si="5"/>
        <v>1</v>
      </c>
      <c r="Y49" s="6" t="b">
        <f t="shared" si="5"/>
        <v>1</v>
      </c>
    </row>
    <row r="50" spans="2:25" ht="30" x14ac:dyDescent="0.25">
      <c r="F50" s="202" t="s">
        <v>903</v>
      </c>
      <c r="G50" s="82" t="s">
        <v>904</v>
      </c>
      <c r="K50" s="6">
        <f>SUM(K4:K49)</f>
        <v>0</v>
      </c>
      <c r="L50" s="6">
        <f t="shared" ref="L50:N50" si="6">SUM(L4:L49)</f>
        <v>0</v>
      </c>
      <c r="M50" s="6">
        <f t="shared" si="6"/>
        <v>0</v>
      </c>
      <c r="N50" s="6">
        <f t="shared" si="6"/>
        <v>0</v>
      </c>
      <c r="U50" s="6"/>
    </row>
    <row r="51" spans="2:25" x14ac:dyDescent="0.25">
      <c r="F51" s="79">
        <f>COUNTIF(H5:H49,TRUE)</f>
        <v>1</v>
      </c>
      <c r="G51" s="82">
        <f>SUM(G4:G49)</f>
        <v>0</v>
      </c>
      <c r="I51" s="4" t="b">
        <f>AND(I4:I49,indCount_TBP&gt;1,indWeight_TBP=1,Q51:V51)</f>
        <v>0</v>
      </c>
      <c r="K51" s="6"/>
      <c r="L51" s="6"/>
      <c r="M51" s="6"/>
      <c r="N51" s="6"/>
      <c r="Q51" s="4" t="b">
        <f>IF(Q3,K50&gt;0,K50=0)</f>
        <v>0</v>
      </c>
      <c r="R51" s="4" t="b">
        <f t="shared" ref="R51:T51" si="7">IF(R3,L50&gt;0,L50=0)</f>
        <v>0</v>
      </c>
      <c r="S51" s="4" t="b">
        <f t="shared" si="7"/>
        <v>0</v>
      </c>
      <c r="T51" s="4" t="b">
        <f t="shared" si="7"/>
        <v>0</v>
      </c>
      <c r="U51" s="6" t="b">
        <f>AND(U4:U49)</f>
        <v>1</v>
      </c>
      <c r="V51" s="4" t="b">
        <f>AND(V4:Y49)</f>
        <v>1</v>
      </c>
    </row>
  </sheetData>
  <sheetProtection algorithmName="SHA-512" hashValue="8uYAGy3by1O2PQjV5JNxUWCsgpZdszqIMQKiiAcPeC3XjeCh71GnmMfGtcSBxPLrYTm+y81tEThUyKzBfItVlA==" saltValue="CltR9cRf0zfMSGsFYa8+lA==" spinCount="100000" sheet="1" objects="1" scenarios="1" selectLockedCells="1"/>
  <mergeCells count="2">
    <mergeCell ref="B1:G1"/>
    <mergeCell ref="B2:G2"/>
  </mergeCells>
  <conditionalFormatting sqref="B5:F49">
    <cfRule type="expression" dxfId="230" priority="14" stopIfTrue="1">
      <formula>AND(NOT(ISBLANK($H5)),$H5)</formula>
    </cfRule>
  </conditionalFormatting>
  <conditionalFormatting sqref="A1:XFD1048576">
    <cfRule type="expression" dxfId="229" priority="15">
      <formula>TRUE</formula>
    </cfRule>
  </conditionalFormatting>
  <conditionalFormatting sqref="G5:G49">
    <cfRule type="expression" dxfId="228" priority="13" stopIfTrue="1">
      <formula>AND(NOT(ISBLANK($H5)),$H5)</formula>
    </cfRule>
  </conditionalFormatting>
  <conditionalFormatting sqref="B4:N49">
    <cfRule type="expression" dxfId="227" priority="12">
      <formula>ISBLANK($H4)</formula>
    </cfRule>
  </conditionalFormatting>
  <conditionalFormatting sqref="G51">
    <cfRule type="cellIs" dxfId="226" priority="9" operator="notEqual">
      <formula>1</formula>
    </cfRule>
  </conditionalFormatting>
  <conditionalFormatting sqref="G4:G49">
    <cfRule type="expression" dxfId="225" priority="10">
      <formula>AND(NOT(ISBLANK($H4)),$H4,OR(ISBLANK($G4),$G4=0))</formula>
    </cfRule>
  </conditionalFormatting>
  <conditionalFormatting sqref="G4:J49">
    <cfRule type="expression" dxfId="224" priority="11" stopIfTrue="1">
      <formula>AND(NOT($H4),OR(NOT(ISBLANK($G4)),NOT(ISBLANK($J4))))</formula>
    </cfRule>
  </conditionalFormatting>
  <conditionalFormatting sqref="J4:J49">
    <cfRule type="expression" dxfId="223" priority="6">
      <formula>AND(D4="COI/NCOI",$H4,OR(ISBLANK($J4),$J4=0))</formula>
    </cfRule>
    <cfRule type="expression" dxfId="222" priority="7" stopIfTrue="1">
      <formula>AND($D4="COI/NCOI",$H4)</formula>
    </cfRule>
  </conditionalFormatting>
  <conditionalFormatting sqref="K4:N49">
    <cfRule type="expression" dxfId="221" priority="1">
      <formula>AND(Q4,NOT(V4))</formula>
    </cfRule>
    <cfRule type="expression" dxfId="220" priority="2" stopIfTrue="1">
      <formula>AND(NOT(V4),NOT(Q4))</formula>
    </cfRule>
    <cfRule type="expression" dxfId="219" priority="3">
      <formula>Q4</formula>
    </cfRule>
  </conditionalFormatting>
  <dataValidations count="3">
    <dataValidation type="decimal" allowBlank="1" showErrorMessage="1" errorTitle="Invalid Input" error="Range is between 0% and 100%." sqref="G5:G49" xr:uid="{2F561963-AEF2-9C40-81F7-1F123914C013}">
      <formula1>0</formula1>
      <formula2>1</formula2>
    </dataValidation>
    <dataValidation type="list" allowBlank="1" showInputMessage="1" showErrorMessage="1" sqref="J4:J49" xr:uid="{C6D02F3F-DC92-0D4A-915F-17FCB095B289}">
      <formula1>IF(AND(H4,D4="COI/NCOI"),INDIRECT("admin_coi_ncoi"),IF(AND(H4,D4="COI"),INDIRECT("admin_coi"),IF(AND(H4,D4="NCOI"),INDIRECT("admin_ncoi"),Z100)))</formula1>
    </dataValidation>
    <dataValidation type="whole" allowBlank="1" showInputMessage="1" showErrorMessage="1" sqref="K4:N49" xr:uid="{C359FAAE-9F11-B44D-A426-ECD2C7A3D750}">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1">
              <controlPr defaultSize="0" autoFill="0" autoLine="0" autoPict="0">
                <anchor moveWithCells="1">
                  <from>
                    <xdr:col>5</xdr:col>
                    <xdr:colOff>161925</xdr:colOff>
                    <xdr:row>4</xdr:row>
                    <xdr:rowOff>200025</xdr:rowOff>
                  </from>
                  <to>
                    <xdr:col>5</xdr:col>
                    <xdr:colOff>447675</xdr:colOff>
                    <xdr:row>4</xdr:row>
                    <xdr:rowOff>457200</xdr:rowOff>
                  </to>
                </anchor>
              </controlPr>
            </control>
          </mc:Choice>
        </mc:AlternateContent>
        <mc:AlternateContent xmlns:mc="http://schemas.openxmlformats.org/markup-compatibility/2006">
          <mc:Choice Requires="x14">
            <control shapeId="138242" r:id="rId5" name="Check Box 2">
              <controlPr defaultSize="0" autoFill="0" autoLine="0" autoPict="0">
                <anchor moveWithCells="1">
                  <from>
                    <xdr:col>5</xdr:col>
                    <xdr:colOff>161925</xdr:colOff>
                    <xdr:row>5</xdr:row>
                    <xdr:rowOff>200025</xdr:rowOff>
                  </from>
                  <to>
                    <xdr:col>5</xdr:col>
                    <xdr:colOff>447675</xdr:colOff>
                    <xdr:row>5</xdr:row>
                    <xdr:rowOff>457200</xdr:rowOff>
                  </to>
                </anchor>
              </controlPr>
            </control>
          </mc:Choice>
        </mc:AlternateContent>
        <mc:AlternateContent xmlns:mc="http://schemas.openxmlformats.org/markup-compatibility/2006">
          <mc:Choice Requires="x14">
            <control shapeId="138243" r:id="rId6" name="Check Box 3">
              <controlPr defaultSize="0" autoFill="0" autoLine="0" autoPict="0">
                <anchor moveWithCells="1">
                  <from>
                    <xdr:col>5</xdr:col>
                    <xdr:colOff>161925</xdr:colOff>
                    <xdr:row>6</xdr:row>
                    <xdr:rowOff>200025</xdr:rowOff>
                  </from>
                  <to>
                    <xdr:col>5</xdr:col>
                    <xdr:colOff>447675</xdr:colOff>
                    <xdr:row>6</xdr:row>
                    <xdr:rowOff>457200</xdr:rowOff>
                  </to>
                </anchor>
              </controlPr>
            </control>
          </mc:Choice>
        </mc:AlternateContent>
        <mc:AlternateContent xmlns:mc="http://schemas.openxmlformats.org/markup-compatibility/2006">
          <mc:Choice Requires="x14">
            <control shapeId="138244" r:id="rId7" name="Check Box 4">
              <controlPr defaultSize="0" autoFill="0" autoLine="0" autoPict="0">
                <anchor moveWithCells="1">
                  <from>
                    <xdr:col>5</xdr:col>
                    <xdr:colOff>161925</xdr:colOff>
                    <xdr:row>7</xdr:row>
                    <xdr:rowOff>200025</xdr:rowOff>
                  </from>
                  <to>
                    <xdr:col>5</xdr:col>
                    <xdr:colOff>447675</xdr:colOff>
                    <xdr:row>7</xdr:row>
                    <xdr:rowOff>457200</xdr:rowOff>
                  </to>
                </anchor>
              </controlPr>
            </control>
          </mc:Choice>
        </mc:AlternateContent>
        <mc:AlternateContent xmlns:mc="http://schemas.openxmlformats.org/markup-compatibility/2006">
          <mc:Choice Requires="x14">
            <control shapeId="138245" r:id="rId8" name="Check Box 5">
              <controlPr defaultSize="0" autoFill="0" autoLine="0" autoPict="0">
                <anchor moveWithCells="1">
                  <from>
                    <xdr:col>5</xdr:col>
                    <xdr:colOff>161925</xdr:colOff>
                    <xdr:row>8</xdr:row>
                    <xdr:rowOff>200025</xdr:rowOff>
                  </from>
                  <to>
                    <xdr:col>5</xdr:col>
                    <xdr:colOff>447675</xdr:colOff>
                    <xdr:row>8</xdr:row>
                    <xdr:rowOff>457200</xdr:rowOff>
                  </to>
                </anchor>
              </controlPr>
            </control>
          </mc:Choice>
        </mc:AlternateContent>
        <mc:AlternateContent xmlns:mc="http://schemas.openxmlformats.org/markup-compatibility/2006">
          <mc:Choice Requires="x14">
            <control shapeId="138246" r:id="rId9" name="Check Box 6">
              <controlPr defaultSize="0" autoFill="0" autoLine="0" autoPict="0">
                <anchor moveWithCells="1">
                  <from>
                    <xdr:col>5</xdr:col>
                    <xdr:colOff>161925</xdr:colOff>
                    <xdr:row>9</xdr:row>
                    <xdr:rowOff>200025</xdr:rowOff>
                  </from>
                  <to>
                    <xdr:col>5</xdr:col>
                    <xdr:colOff>447675</xdr:colOff>
                    <xdr:row>9</xdr:row>
                    <xdr:rowOff>457200</xdr:rowOff>
                  </to>
                </anchor>
              </controlPr>
            </control>
          </mc:Choice>
        </mc:AlternateContent>
        <mc:AlternateContent xmlns:mc="http://schemas.openxmlformats.org/markup-compatibility/2006">
          <mc:Choice Requires="x14">
            <control shapeId="138247" r:id="rId10" name="Check Box 7">
              <controlPr defaultSize="0" autoFill="0" autoLine="0" autoPict="0">
                <anchor moveWithCells="1">
                  <from>
                    <xdr:col>5</xdr:col>
                    <xdr:colOff>161925</xdr:colOff>
                    <xdr:row>10</xdr:row>
                    <xdr:rowOff>200025</xdr:rowOff>
                  </from>
                  <to>
                    <xdr:col>5</xdr:col>
                    <xdr:colOff>447675</xdr:colOff>
                    <xdr:row>10</xdr:row>
                    <xdr:rowOff>457200</xdr:rowOff>
                  </to>
                </anchor>
              </controlPr>
            </control>
          </mc:Choice>
        </mc:AlternateContent>
        <mc:AlternateContent xmlns:mc="http://schemas.openxmlformats.org/markup-compatibility/2006">
          <mc:Choice Requires="x14">
            <control shapeId="138248" r:id="rId11" name="Check Box 8">
              <controlPr defaultSize="0" autoFill="0" autoLine="0" autoPict="0">
                <anchor moveWithCells="1">
                  <from>
                    <xdr:col>5</xdr:col>
                    <xdr:colOff>161925</xdr:colOff>
                    <xdr:row>12</xdr:row>
                    <xdr:rowOff>200025</xdr:rowOff>
                  </from>
                  <to>
                    <xdr:col>5</xdr:col>
                    <xdr:colOff>447675</xdr:colOff>
                    <xdr:row>12</xdr:row>
                    <xdr:rowOff>457200</xdr:rowOff>
                  </to>
                </anchor>
              </controlPr>
            </control>
          </mc:Choice>
        </mc:AlternateContent>
        <mc:AlternateContent xmlns:mc="http://schemas.openxmlformats.org/markup-compatibility/2006">
          <mc:Choice Requires="x14">
            <control shapeId="138249" r:id="rId12" name="Check Box 9">
              <controlPr defaultSize="0" autoFill="0" autoLine="0" autoPict="0">
                <anchor moveWithCells="1">
                  <from>
                    <xdr:col>5</xdr:col>
                    <xdr:colOff>161925</xdr:colOff>
                    <xdr:row>13</xdr:row>
                    <xdr:rowOff>200025</xdr:rowOff>
                  </from>
                  <to>
                    <xdr:col>5</xdr:col>
                    <xdr:colOff>447675</xdr:colOff>
                    <xdr:row>13</xdr:row>
                    <xdr:rowOff>457200</xdr:rowOff>
                  </to>
                </anchor>
              </controlPr>
            </control>
          </mc:Choice>
        </mc:AlternateContent>
        <mc:AlternateContent xmlns:mc="http://schemas.openxmlformats.org/markup-compatibility/2006">
          <mc:Choice Requires="x14">
            <control shapeId="138250" r:id="rId13" name="Check Box 10">
              <controlPr defaultSize="0" autoFill="0" autoLine="0" autoPict="0">
                <anchor moveWithCells="1">
                  <from>
                    <xdr:col>5</xdr:col>
                    <xdr:colOff>161925</xdr:colOff>
                    <xdr:row>14</xdr:row>
                    <xdr:rowOff>200025</xdr:rowOff>
                  </from>
                  <to>
                    <xdr:col>5</xdr:col>
                    <xdr:colOff>447675</xdr:colOff>
                    <xdr:row>14</xdr:row>
                    <xdr:rowOff>457200</xdr:rowOff>
                  </to>
                </anchor>
              </controlPr>
            </control>
          </mc:Choice>
        </mc:AlternateContent>
        <mc:AlternateContent xmlns:mc="http://schemas.openxmlformats.org/markup-compatibility/2006">
          <mc:Choice Requires="x14">
            <control shapeId="138251" r:id="rId14" name="Check Box 11">
              <controlPr defaultSize="0" autoFill="0" autoLine="0" autoPict="0">
                <anchor moveWithCells="1">
                  <from>
                    <xdr:col>5</xdr:col>
                    <xdr:colOff>161925</xdr:colOff>
                    <xdr:row>15</xdr:row>
                    <xdr:rowOff>200025</xdr:rowOff>
                  </from>
                  <to>
                    <xdr:col>5</xdr:col>
                    <xdr:colOff>447675</xdr:colOff>
                    <xdr:row>15</xdr:row>
                    <xdr:rowOff>457200</xdr:rowOff>
                  </to>
                </anchor>
              </controlPr>
            </control>
          </mc:Choice>
        </mc:AlternateContent>
        <mc:AlternateContent xmlns:mc="http://schemas.openxmlformats.org/markup-compatibility/2006">
          <mc:Choice Requires="x14">
            <control shapeId="138252" r:id="rId15" name="Check Box 12">
              <controlPr defaultSize="0" autoFill="0" autoLine="0" autoPict="0">
                <anchor moveWithCells="1">
                  <from>
                    <xdr:col>5</xdr:col>
                    <xdr:colOff>161925</xdr:colOff>
                    <xdr:row>16</xdr:row>
                    <xdr:rowOff>200025</xdr:rowOff>
                  </from>
                  <to>
                    <xdr:col>5</xdr:col>
                    <xdr:colOff>447675</xdr:colOff>
                    <xdr:row>16</xdr:row>
                    <xdr:rowOff>457200</xdr:rowOff>
                  </to>
                </anchor>
              </controlPr>
            </control>
          </mc:Choice>
        </mc:AlternateContent>
        <mc:AlternateContent xmlns:mc="http://schemas.openxmlformats.org/markup-compatibility/2006">
          <mc:Choice Requires="x14">
            <control shapeId="138253" r:id="rId16" name="Check Box 13">
              <controlPr defaultSize="0" autoFill="0" autoLine="0" autoPict="0">
                <anchor moveWithCells="1">
                  <from>
                    <xdr:col>5</xdr:col>
                    <xdr:colOff>161925</xdr:colOff>
                    <xdr:row>17</xdr:row>
                    <xdr:rowOff>200025</xdr:rowOff>
                  </from>
                  <to>
                    <xdr:col>5</xdr:col>
                    <xdr:colOff>447675</xdr:colOff>
                    <xdr:row>17</xdr:row>
                    <xdr:rowOff>457200</xdr:rowOff>
                  </to>
                </anchor>
              </controlPr>
            </control>
          </mc:Choice>
        </mc:AlternateContent>
        <mc:AlternateContent xmlns:mc="http://schemas.openxmlformats.org/markup-compatibility/2006">
          <mc:Choice Requires="x14">
            <control shapeId="138254" r:id="rId17" name="Check Box 14">
              <controlPr defaultSize="0" autoFill="0" autoLine="0" autoPict="0">
                <anchor moveWithCells="1">
                  <from>
                    <xdr:col>5</xdr:col>
                    <xdr:colOff>161925</xdr:colOff>
                    <xdr:row>19</xdr:row>
                    <xdr:rowOff>200025</xdr:rowOff>
                  </from>
                  <to>
                    <xdr:col>5</xdr:col>
                    <xdr:colOff>447675</xdr:colOff>
                    <xdr:row>19</xdr:row>
                    <xdr:rowOff>457200</xdr:rowOff>
                  </to>
                </anchor>
              </controlPr>
            </control>
          </mc:Choice>
        </mc:AlternateContent>
        <mc:AlternateContent xmlns:mc="http://schemas.openxmlformats.org/markup-compatibility/2006">
          <mc:Choice Requires="x14">
            <control shapeId="138255" r:id="rId18" name="Check Box 15">
              <controlPr defaultSize="0" autoFill="0" autoLine="0" autoPict="0">
                <anchor moveWithCells="1">
                  <from>
                    <xdr:col>5</xdr:col>
                    <xdr:colOff>161925</xdr:colOff>
                    <xdr:row>20</xdr:row>
                    <xdr:rowOff>200025</xdr:rowOff>
                  </from>
                  <to>
                    <xdr:col>5</xdr:col>
                    <xdr:colOff>447675</xdr:colOff>
                    <xdr:row>20</xdr:row>
                    <xdr:rowOff>457200</xdr:rowOff>
                  </to>
                </anchor>
              </controlPr>
            </control>
          </mc:Choice>
        </mc:AlternateContent>
        <mc:AlternateContent xmlns:mc="http://schemas.openxmlformats.org/markup-compatibility/2006">
          <mc:Choice Requires="x14">
            <control shapeId="138256" r:id="rId19" name="Check Box 16">
              <controlPr defaultSize="0" autoFill="0" autoLine="0" autoPict="0">
                <anchor moveWithCells="1">
                  <from>
                    <xdr:col>5</xdr:col>
                    <xdr:colOff>161925</xdr:colOff>
                    <xdr:row>21</xdr:row>
                    <xdr:rowOff>200025</xdr:rowOff>
                  </from>
                  <to>
                    <xdr:col>5</xdr:col>
                    <xdr:colOff>447675</xdr:colOff>
                    <xdr:row>21</xdr:row>
                    <xdr:rowOff>457200</xdr:rowOff>
                  </to>
                </anchor>
              </controlPr>
            </control>
          </mc:Choice>
        </mc:AlternateContent>
        <mc:AlternateContent xmlns:mc="http://schemas.openxmlformats.org/markup-compatibility/2006">
          <mc:Choice Requires="x14">
            <control shapeId="138257" r:id="rId20" name="Check Box 17">
              <controlPr defaultSize="0" autoFill="0" autoLine="0" autoPict="0">
                <anchor moveWithCells="1">
                  <from>
                    <xdr:col>5</xdr:col>
                    <xdr:colOff>161925</xdr:colOff>
                    <xdr:row>22</xdr:row>
                    <xdr:rowOff>200025</xdr:rowOff>
                  </from>
                  <to>
                    <xdr:col>5</xdr:col>
                    <xdr:colOff>447675</xdr:colOff>
                    <xdr:row>22</xdr:row>
                    <xdr:rowOff>457200</xdr:rowOff>
                  </to>
                </anchor>
              </controlPr>
            </control>
          </mc:Choice>
        </mc:AlternateContent>
        <mc:AlternateContent xmlns:mc="http://schemas.openxmlformats.org/markup-compatibility/2006">
          <mc:Choice Requires="x14">
            <control shapeId="138258" r:id="rId21" name="Check Box 18">
              <controlPr defaultSize="0" autoFill="0" autoLine="0" autoPict="0">
                <anchor moveWithCells="1">
                  <from>
                    <xdr:col>5</xdr:col>
                    <xdr:colOff>161925</xdr:colOff>
                    <xdr:row>23</xdr:row>
                    <xdr:rowOff>200025</xdr:rowOff>
                  </from>
                  <to>
                    <xdr:col>5</xdr:col>
                    <xdr:colOff>447675</xdr:colOff>
                    <xdr:row>23</xdr:row>
                    <xdr:rowOff>457200</xdr:rowOff>
                  </to>
                </anchor>
              </controlPr>
            </control>
          </mc:Choice>
        </mc:AlternateContent>
        <mc:AlternateContent xmlns:mc="http://schemas.openxmlformats.org/markup-compatibility/2006">
          <mc:Choice Requires="x14">
            <control shapeId="138259" r:id="rId22" name="Check Box 19">
              <controlPr defaultSize="0" autoFill="0" autoLine="0" autoPict="0">
                <anchor moveWithCells="1">
                  <from>
                    <xdr:col>5</xdr:col>
                    <xdr:colOff>161925</xdr:colOff>
                    <xdr:row>25</xdr:row>
                    <xdr:rowOff>200025</xdr:rowOff>
                  </from>
                  <to>
                    <xdr:col>5</xdr:col>
                    <xdr:colOff>447675</xdr:colOff>
                    <xdr:row>25</xdr:row>
                    <xdr:rowOff>457200</xdr:rowOff>
                  </to>
                </anchor>
              </controlPr>
            </control>
          </mc:Choice>
        </mc:AlternateContent>
        <mc:AlternateContent xmlns:mc="http://schemas.openxmlformats.org/markup-compatibility/2006">
          <mc:Choice Requires="x14">
            <control shapeId="138260" r:id="rId23" name="Check Box 20">
              <controlPr defaultSize="0" autoFill="0" autoLine="0" autoPict="0">
                <anchor moveWithCells="1">
                  <from>
                    <xdr:col>5</xdr:col>
                    <xdr:colOff>161925</xdr:colOff>
                    <xdr:row>26</xdr:row>
                    <xdr:rowOff>200025</xdr:rowOff>
                  </from>
                  <to>
                    <xdr:col>5</xdr:col>
                    <xdr:colOff>447675</xdr:colOff>
                    <xdr:row>26</xdr:row>
                    <xdr:rowOff>457200</xdr:rowOff>
                  </to>
                </anchor>
              </controlPr>
            </control>
          </mc:Choice>
        </mc:AlternateContent>
        <mc:AlternateContent xmlns:mc="http://schemas.openxmlformats.org/markup-compatibility/2006">
          <mc:Choice Requires="x14">
            <control shapeId="138261" r:id="rId24" name="Check Box 21">
              <controlPr defaultSize="0" autoFill="0" autoLine="0" autoPict="0">
                <anchor moveWithCells="1">
                  <from>
                    <xdr:col>5</xdr:col>
                    <xdr:colOff>161925</xdr:colOff>
                    <xdr:row>27</xdr:row>
                    <xdr:rowOff>200025</xdr:rowOff>
                  </from>
                  <to>
                    <xdr:col>5</xdr:col>
                    <xdr:colOff>447675</xdr:colOff>
                    <xdr:row>27</xdr:row>
                    <xdr:rowOff>457200</xdr:rowOff>
                  </to>
                </anchor>
              </controlPr>
            </control>
          </mc:Choice>
        </mc:AlternateContent>
        <mc:AlternateContent xmlns:mc="http://schemas.openxmlformats.org/markup-compatibility/2006">
          <mc:Choice Requires="x14">
            <control shapeId="138262" r:id="rId25" name="Check Box 22">
              <controlPr defaultSize="0" autoFill="0" autoLine="0" autoPict="0">
                <anchor moveWithCells="1">
                  <from>
                    <xdr:col>5</xdr:col>
                    <xdr:colOff>161925</xdr:colOff>
                    <xdr:row>28</xdr:row>
                    <xdr:rowOff>200025</xdr:rowOff>
                  </from>
                  <to>
                    <xdr:col>5</xdr:col>
                    <xdr:colOff>447675</xdr:colOff>
                    <xdr:row>28</xdr:row>
                    <xdr:rowOff>457200</xdr:rowOff>
                  </to>
                </anchor>
              </controlPr>
            </control>
          </mc:Choice>
        </mc:AlternateContent>
        <mc:AlternateContent xmlns:mc="http://schemas.openxmlformats.org/markup-compatibility/2006">
          <mc:Choice Requires="x14">
            <control shapeId="138263" r:id="rId26" name="Check Box 23">
              <controlPr defaultSize="0" autoFill="0" autoLine="0" autoPict="0">
                <anchor moveWithCells="1">
                  <from>
                    <xdr:col>5</xdr:col>
                    <xdr:colOff>161925</xdr:colOff>
                    <xdr:row>29</xdr:row>
                    <xdr:rowOff>200025</xdr:rowOff>
                  </from>
                  <to>
                    <xdr:col>5</xdr:col>
                    <xdr:colOff>447675</xdr:colOff>
                    <xdr:row>29</xdr:row>
                    <xdr:rowOff>457200</xdr:rowOff>
                  </to>
                </anchor>
              </controlPr>
            </control>
          </mc:Choice>
        </mc:AlternateContent>
        <mc:AlternateContent xmlns:mc="http://schemas.openxmlformats.org/markup-compatibility/2006">
          <mc:Choice Requires="x14">
            <control shapeId="138264" r:id="rId27" name="Check Box 24">
              <controlPr defaultSize="0" autoFill="0" autoLine="0" autoPict="0">
                <anchor moveWithCells="1">
                  <from>
                    <xdr:col>5</xdr:col>
                    <xdr:colOff>161925</xdr:colOff>
                    <xdr:row>31</xdr:row>
                    <xdr:rowOff>200025</xdr:rowOff>
                  </from>
                  <to>
                    <xdr:col>5</xdr:col>
                    <xdr:colOff>447675</xdr:colOff>
                    <xdr:row>31</xdr:row>
                    <xdr:rowOff>457200</xdr:rowOff>
                  </to>
                </anchor>
              </controlPr>
            </control>
          </mc:Choice>
        </mc:AlternateContent>
        <mc:AlternateContent xmlns:mc="http://schemas.openxmlformats.org/markup-compatibility/2006">
          <mc:Choice Requires="x14">
            <control shapeId="138265" r:id="rId28" name="Check Box 25">
              <controlPr defaultSize="0" autoFill="0" autoLine="0" autoPict="0">
                <anchor moveWithCells="1">
                  <from>
                    <xdr:col>5</xdr:col>
                    <xdr:colOff>161925</xdr:colOff>
                    <xdr:row>32</xdr:row>
                    <xdr:rowOff>200025</xdr:rowOff>
                  </from>
                  <to>
                    <xdr:col>5</xdr:col>
                    <xdr:colOff>447675</xdr:colOff>
                    <xdr:row>32</xdr:row>
                    <xdr:rowOff>457200</xdr:rowOff>
                  </to>
                </anchor>
              </controlPr>
            </control>
          </mc:Choice>
        </mc:AlternateContent>
        <mc:AlternateContent xmlns:mc="http://schemas.openxmlformats.org/markup-compatibility/2006">
          <mc:Choice Requires="x14">
            <control shapeId="138266" r:id="rId29" name="Check Box 26">
              <controlPr defaultSize="0" autoFill="0" autoLine="0" autoPict="0">
                <anchor moveWithCells="1">
                  <from>
                    <xdr:col>5</xdr:col>
                    <xdr:colOff>161925</xdr:colOff>
                    <xdr:row>33</xdr:row>
                    <xdr:rowOff>200025</xdr:rowOff>
                  </from>
                  <to>
                    <xdr:col>5</xdr:col>
                    <xdr:colOff>447675</xdr:colOff>
                    <xdr:row>33</xdr:row>
                    <xdr:rowOff>457200</xdr:rowOff>
                  </to>
                </anchor>
              </controlPr>
            </control>
          </mc:Choice>
        </mc:AlternateContent>
        <mc:AlternateContent xmlns:mc="http://schemas.openxmlformats.org/markup-compatibility/2006">
          <mc:Choice Requires="x14">
            <control shapeId="138267" r:id="rId30" name="Check Box 27">
              <controlPr defaultSize="0" autoFill="0" autoLine="0" autoPict="0">
                <anchor moveWithCells="1">
                  <from>
                    <xdr:col>5</xdr:col>
                    <xdr:colOff>161925</xdr:colOff>
                    <xdr:row>34</xdr:row>
                    <xdr:rowOff>200025</xdr:rowOff>
                  </from>
                  <to>
                    <xdr:col>5</xdr:col>
                    <xdr:colOff>447675</xdr:colOff>
                    <xdr:row>34</xdr:row>
                    <xdr:rowOff>457200</xdr:rowOff>
                  </to>
                </anchor>
              </controlPr>
            </control>
          </mc:Choice>
        </mc:AlternateContent>
        <mc:AlternateContent xmlns:mc="http://schemas.openxmlformats.org/markup-compatibility/2006">
          <mc:Choice Requires="x14">
            <control shapeId="138268" r:id="rId31" name="Check Box 28">
              <controlPr defaultSize="0" autoFill="0" autoLine="0" autoPict="0">
                <anchor moveWithCells="1">
                  <from>
                    <xdr:col>5</xdr:col>
                    <xdr:colOff>161925</xdr:colOff>
                    <xdr:row>35</xdr:row>
                    <xdr:rowOff>200025</xdr:rowOff>
                  </from>
                  <to>
                    <xdr:col>5</xdr:col>
                    <xdr:colOff>447675</xdr:colOff>
                    <xdr:row>35</xdr:row>
                    <xdr:rowOff>457200</xdr:rowOff>
                  </to>
                </anchor>
              </controlPr>
            </control>
          </mc:Choice>
        </mc:AlternateContent>
        <mc:AlternateContent xmlns:mc="http://schemas.openxmlformats.org/markup-compatibility/2006">
          <mc:Choice Requires="x14">
            <control shapeId="138269" r:id="rId32" name="Check Box 29">
              <controlPr defaultSize="0" autoFill="0" autoLine="0" autoPict="0">
                <anchor moveWithCells="1">
                  <from>
                    <xdr:col>5</xdr:col>
                    <xdr:colOff>161925</xdr:colOff>
                    <xdr:row>37</xdr:row>
                    <xdr:rowOff>200025</xdr:rowOff>
                  </from>
                  <to>
                    <xdr:col>5</xdr:col>
                    <xdr:colOff>447675</xdr:colOff>
                    <xdr:row>37</xdr:row>
                    <xdr:rowOff>457200</xdr:rowOff>
                  </to>
                </anchor>
              </controlPr>
            </control>
          </mc:Choice>
        </mc:AlternateContent>
        <mc:AlternateContent xmlns:mc="http://schemas.openxmlformats.org/markup-compatibility/2006">
          <mc:Choice Requires="x14">
            <control shapeId="138270" r:id="rId33" name="Check Box 30">
              <controlPr defaultSize="0" autoFill="0" autoLine="0" autoPict="0">
                <anchor moveWithCells="1">
                  <from>
                    <xdr:col>5</xdr:col>
                    <xdr:colOff>161925</xdr:colOff>
                    <xdr:row>38</xdr:row>
                    <xdr:rowOff>200025</xdr:rowOff>
                  </from>
                  <to>
                    <xdr:col>5</xdr:col>
                    <xdr:colOff>447675</xdr:colOff>
                    <xdr:row>38</xdr:row>
                    <xdr:rowOff>457200</xdr:rowOff>
                  </to>
                </anchor>
              </controlPr>
            </control>
          </mc:Choice>
        </mc:AlternateContent>
        <mc:AlternateContent xmlns:mc="http://schemas.openxmlformats.org/markup-compatibility/2006">
          <mc:Choice Requires="x14">
            <control shapeId="138271" r:id="rId34" name="Check Box 31">
              <controlPr defaultSize="0" autoFill="0" autoLine="0" autoPict="0">
                <anchor moveWithCells="1">
                  <from>
                    <xdr:col>5</xdr:col>
                    <xdr:colOff>161925</xdr:colOff>
                    <xdr:row>39</xdr:row>
                    <xdr:rowOff>200025</xdr:rowOff>
                  </from>
                  <to>
                    <xdr:col>5</xdr:col>
                    <xdr:colOff>447675</xdr:colOff>
                    <xdr:row>39</xdr:row>
                    <xdr:rowOff>457200</xdr:rowOff>
                  </to>
                </anchor>
              </controlPr>
            </control>
          </mc:Choice>
        </mc:AlternateContent>
        <mc:AlternateContent xmlns:mc="http://schemas.openxmlformats.org/markup-compatibility/2006">
          <mc:Choice Requires="x14">
            <control shapeId="138272" r:id="rId35" name="Check Box 32">
              <controlPr defaultSize="0" autoFill="0" autoLine="0" autoPict="0">
                <anchor moveWithCells="1">
                  <from>
                    <xdr:col>5</xdr:col>
                    <xdr:colOff>161925</xdr:colOff>
                    <xdr:row>40</xdr:row>
                    <xdr:rowOff>200025</xdr:rowOff>
                  </from>
                  <to>
                    <xdr:col>5</xdr:col>
                    <xdr:colOff>447675</xdr:colOff>
                    <xdr:row>40</xdr:row>
                    <xdr:rowOff>457200</xdr:rowOff>
                  </to>
                </anchor>
              </controlPr>
            </control>
          </mc:Choice>
        </mc:AlternateContent>
        <mc:AlternateContent xmlns:mc="http://schemas.openxmlformats.org/markup-compatibility/2006">
          <mc:Choice Requires="x14">
            <control shapeId="138273" r:id="rId36" name="Check Box 33">
              <controlPr defaultSize="0" autoFill="0" autoLine="0" autoPict="0">
                <anchor moveWithCells="1">
                  <from>
                    <xdr:col>5</xdr:col>
                    <xdr:colOff>161925</xdr:colOff>
                    <xdr:row>42</xdr:row>
                    <xdr:rowOff>200025</xdr:rowOff>
                  </from>
                  <to>
                    <xdr:col>5</xdr:col>
                    <xdr:colOff>447675</xdr:colOff>
                    <xdr:row>42</xdr:row>
                    <xdr:rowOff>457200</xdr:rowOff>
                  </to>
                </anchor>
              </controlPr>
            </control>
          </mc:Choice>
        </mc:AlternateContent>
        <mc:AlternateContent xmlns:mc="http://schemas.openxmlformats.org/markup-compatibility/2006">
          <mc:Choice Requires="x14">
            <control shapeId="138274" r:id="rId37" name="Check Box 34">
              <controlPr defaultSize="0" autoFill="0" autoLine="0" autoPict="0">
                <anchor moveWithCells="1">
                  <from>
                    <xdr:col>5</xdr:col>
                    <xdr:colOff>161925</xdr:colOff>
                    <xdr:row>43</xdr:row>
                    <xdr:rowOff>200025</xdr:rowOff>
                  </from>
                  <to>
                    <xdr:col>5</xdr:col>
                    <xdr:colOff>447675</xdr:colOff>
                    <xdr:row>43</xdr:row>
                    <xdr:rowOff>457200</xdr:rowOff>
                  </to>
                </anchor>
              </controlPr>
            </control>
          </mc:Choice>
        </mc:AlternateContent>
        <mc:AlternateContent xmlns:mc="http://schemas.openxmlformats.org/markup-compatibility/2006">
          <mc:Choice Requires="x14">
            <control shapeId="138275" r:id="rId38" name="Check Box 35">
              <controlPr defaultSize="0" autoFill="0" autoLine="0" autoPict="0">
                <anchor moveWithCells="1">
                  <from>
                    <xdr:col>5</xdr:col>
                    <xdr:colOff>161925</xdr:colOff>
                    <xdr:row>44</xdr:row>
                    <xdr:rowOff>200025</xdr:rowOff>
                  </from>
                  <to>
                    <xdr:col>5</xdr:col>
                    <xdr:colOff>447675</xdr:colOff>
                    <xdr:row>44</xdr:row>
                    <xdr:rowOff>457200</xdr:rowOff>
                  </to>
                </anchor>
              </controlPr>
            </control>
          </mc:Choice>
        </mc:AlternateContent>
        <mc:AlternateContent xmlns:mc="http://schemas.openxmlformats.org/markup-compatibility/2006">
          <mc:Choice Requires="x14">
            <control shapeId="138276" r:id="rId39" name="Check Box 36">
              <controlPr defaultSize="0" autoFill="0" autoLine="0" autoPict="0">
                <anchor moveWithCells="1">
                  <from>
                    <xdr:col>5</xdr:col>
                    <xdr:colOff>161925</xdr:colOff>
                    <xdr:row>45</xdr:row>
                    <xdr:rowOff>200025</xdr:rowOff>
                  </from>
                  <to>
                    <xdr:col>5</xdr:col>
                    <xdr:colOff>447675</xdr:colOff>
                    <xdr:row>45</xdr:row>
                    <xdr:rowOff>457200</xdr:rowOff>
                  </to>
                </anchor>
              </controlPr>
            </control>
          </mc:Choice>
        </mc:AlternateContent>
        <mc:AlternateContent xmlns:mc="http://schemas.openxmlformats.org/markup-compatibility/2006">
          <mc:Choice Requires="x14">
            <control shapeId="138277" r:id="rId40" name="Check Box 37">
              <controlPr defaultSize="0" autoFill="0" autoLine="0" autoPict="0">
                <anchor moveWithCells="1">
                  <from>
                    <xdr:col>5</xdr:col>
                    <xdr:colOff>161925</xdr:colOff>
                    <xdr:row>46</xdr:row>
                    <xdr:rowOff>200025</xdr:rowOff>
                  </from>
                  <to>
                    <xdr:col>5</xdr:col>
                    <xdr:colOff>447675</xdr:colOff>
                    <xdr:row>46</xdr:row>
                    <xdr:rowOff>457200</xdr:rowOff>
                  </to>
                </anchor>
              </controlPr>
            </control>
          </mc:Choice>
        </mc:AlternateContent>
        <mc:AlternateContent xmlns:mc="http://schemas.openxmlformats.org/markup-compatibility/2006">
          <mc:Choice Requires="x14">
            <control shapeId="138278" r:id="rId41" name="Button 38">
              <controlPr defaultSize="0" print="0" autoFill="0" autoPict="0" macro="[0]!TBP_Sheet.TBPNext">
                <anchor moveWithCells="1" sizeWithCells="1">
                  <from>
                    <xdr:col>2</xdr:col>
                    <xdr:colOff>4143375</xdr:colOff>
                    <xdr:row>51</xdr:row>
                    <xdr:rowOff>76200</xdr:rowOff>
                  </from>
                  <to>
                    <xdr:col>3</xdr:col>
                    <xdr:colOff>571500</xdr:colOff>
                    <xdr:row>53</xdr:row>
                    <xdr:rowOff>161925</xdr:rowOff>
                  </to>
                </anchor>
              </controlPr>
            </control>
          </mc:Choice>
        </mc:AlternateContent>
        <mc:AlternateContent xmlns:mc="http://schemas.openxmlformats.org/markup-compatibility/2006">
          <mc:Choice Requires="x14">
            <control shapeId="138279" r:id="rId42" name="Button 39">
              <controlPr defaultSize="0" print="0" autoFill="0" autoPict="0" macro="[0]!TBP_Sheet.TBPBack">
                <anchor moveWithCells="1" sizeWithCells="1">
                  <from>
                    <xdr:col>2</xdr:col>
                    <xdr:colOff>800100</xdr:colOff>
                    <xdr:row>51</xdr:row>
                    <xdr:rowOff>85725</xdr:rowOff>
                  </from>
                  <to>
                    <xdr:col>2</xdr:col>
                    <xdr:colOff>1981200</xdr:colOff>
                    <xdr:row>53</xdr:row>
                    <xdr:rowOff>161925</xdr:rowOff>
                  </to>
                </anchor>
              </controlPr>
            </control>
          </mc:Choice>
        </mc:AlternateContent>
        <mc:AlternateContent xmlns:mc="http://schemas.openxmlformats.org/markup-compatibility/2006">
          <mc:Choice Requires="x14">
            <control shapeId="138280" r:id="rId43" name="Check Box 40">
              <controlPr defaultSize="0" autoFill="0" autoLine="0" autoPict="0">
                <anchor moveWithCells="1">
                  <from>
                    <xdr:col>5</xdr:col>
                    <xdr:colOff>161925</xdr:colOff>
                    <xdr:row>48</xdr:row>
                    <xdr:rowOff>200025</xdr:rowOff>
                  </from>
                  <to>
                    <xdr:col>5</xdr:col>
                    <xdr:colOff>447675</xdr:colOff>
                    <xdr:row>48</xdr:row>
                    <xdr:rowOff>457200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8" operator="notBetween" id="{1169B93A-5331-6C41-A525-1341D7BC8728}">
            <xm:f>1</xm:f>
            <xm:f>COUNT(RegPInd!$A$2:$A$39)</xm:f>
            <x14:dxf>
              <font>
                <b/>
                <i val="0"/>
                <color rgb="FFFF0000"/>
              </font>
            </x14:dxf>
          </x14:cfRule>
          <xm:sqref>F51</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DF8F5-E8E1-064E-88EA-113EB2AE24DF}">
  <sheetPr codeName="TBHP_Sheet"/>
  <dimension ref="B1:Y51"/>
  <sheetViews>
    <sheetView zoomScale="140" zoomScaleNormal="140" workbookViewId="0">
      <pane ySplit="3" topLeftCell="A4" activePane="bottomLeft" state="frozen"/>
      <selection activeCell="G5" sqref="G5"/>
      <selection pane="bottomLeft" activeCell="G5" sqref="G5"/>
    </sheetView>
  </sheetViews>
  <sheetFormatPr defaultColWidth="8.85546875" defaultRowHeight="15" x14ac:dyDescent="0.25"/>
  <cols>
    <col min="1" max="1" width="8.85546875" style="4"/>
    <col min="2" max="2" width="12.140625" style="6" customWidth="1"/>
    <col min="3" max="3" width="62.28515625" style="4" customWidth="1"/>
    <col min="4" max="4" width="9.85546875" style="6" customWidth="1"/>
    <col min="5" max="5" width="5.140625" style="6" hidden="1" customWidth="1"/>
    <col min="6" max="6" width="8" style="4" customWidth="1"/>
    <col min="7" max="7" width="8.85546875" style="83"/>
    <col min="8" max="8" width="8.85546875" style="6" hidden="1" customWidth="1"/>
    <col min="9" max="9" width="8.85546875" style="5" hidden="1" customWidth="1"/>
    <col min="10" max="10" width="8.85546875" style="4" customWidth="1"/>
    <col min="11" max="16" width="8.85546875" style="4"/>
    <col min="17" max="25" width="0" style="4" hidden="1" customWidth="1"/>
    <col min="26" max="16384" width="8.85546875" style="4"/>
  </cols>
  <sheetData>
    <row r="1" spans="2:25" x14ac:dyDescent="0.25">
      <c r="B1" s="503" t="s">
        <v>907</v>
      </c>
      <c r="C1" s="503"/>
      <c r="D1" s="503"/>
      <c r="E1" s="503"/>
      <c r="F1" s="503"/>
      <c r="G1" s="503"/>
    </row>
    <row r="2" spans="2:25" x14ac:dyDescent="0.25">
      <c r="B2" s="502" t="str">
        <f>meta!B4</f>
        <v>SY 2023-2024</v>
      </c>
      <c r="C2" s="502"/>
      <c r="D2" s="502"/>
      <c r="E2" s="502"/>
      <c r="F2" s="502"/>
      <c r="G2" s="502"/>
      <c r="O2" s="325" t="s">
        <v>879</v>
      </c>
      <c r="Q2" s="11">
        <v>1</v>
      </c>
      <c r="R2" s="11">
        <v>2</v>
      </c>
      <c r="S2" s="11">
        <v>3</v>
      </c>
      <c r="T2" s="11">
        <v>4</v>
      </c>
      <c r="U2" s="6" t="s">
        <v>881</v>
      </c>
      <c r="V2" s="11">
        <v>1</v>
      </c>
      <c r="W2" s="11">
        <v>2</v>
      </c>
      <c r="X2" s="11">
        <v>3</v>
      </c>
      <c r="Y2" s="11">
        <v>4</v>
      </c>
    </row>
    <row r="3" spans="2:25" s="1" customFormat="1" ht="60" x14ac:dyDescent="0.25">
      <c r="B3" s="12" t="s">
        <v>882</v>
      </c>
      <c r="C3" s="12" t="s">
        <v>883</v>
      </c>
      <c r="D3" s="12" t="s">
        <v>884</v>
      </c>
      <c r="E3" s="12" t="s">
        <v>885</v>
      </c>
      <c r="F3" s="12" t="s">
        <v>886</v>
      </c>
      <c r="G3" s="80" t="s">
        <v>887</v>
      </c>
      <c r="H3" s="1" t="s">
        <v>888</v>
      </c>
      <c r="I3" s="1" t="s">
        <v>881</v>
      </c>
      <c r="J3" s="12" t="s">
        <v>889</v>
      </c>
      <c r="K3" s="12" t="s">
        <v>890</v>
      </c>
      <c r="L3" s="12" t="s">
        <v>891</v>
      </c>
      <c r="M3" s="12" t="s">
        <v>892</v>
      </c>
      <c r="N3" s="12" t="s">
        <v>893</v>
      </c>
      <c r="O3" s="316" t="s">
        <v>894</v>
      </c>
      <c r="Q3" s="1" t="b">
        <f>required_cot&gt;=Q2</f>
        <v>1</v>
      </c>
      <c r="R3" s="1" t="b">
        <f>required_cot&gt;=R2</f>
        <v>1</v>
      </c>
      <c r="S3" s="1" t="b">
        <f>required_cot&gt;=S2</f>
        <v>1</v>
      </c>
      <c r="T3" s="1" t="b">
        <f>required_cot&gt;=T2</f>
        <v>1</v>
      </c>
      <c r="V3" s="1" t="b">
        <f>required_cot&gt;=V2</f>
        <v>1</v>
      </c>
      <c r="W3" s="1" t="b">
        <f>required_cot&gt;=W2</f>
        <v>1</v>
      </c>
      <c r="X3" s="1" t="b">
        <f>required_cot&gt;=X2</f>
        <v>1</v>
      </c>
      <c r="Y3" s="1" t="b">
        <f>required_cot&gt;=Y2</f>
        <v>1</v>
      </c>
    </row>
    <row r="4" spans="2:25" s="7" customFormat="1" x14ac:dyDescent="0.25">
      <c r="B4" s="345" t="s">
        <v>895</v>
      </c>
      <c r="C4" s="345"/>
      <c r="D4" s="345"/>
      <c r="E4" s="345"/>
      <c r="F4" s="346"/>
      <c r="G4" s="315"/>
      <c r="H4" s="6"/>
      <c r="I4" s="6" t="b">
        <f>OR(AND(H4,NOT(ISBLANK(G4)),OR(AND(D4="COI/NCOI",NOT(J4="")),AND(NOT(D4="COI/NCOI"),OR(D4=J4,J4="")))),AND(NOT(H4),ISBLANK(G4),ISBLANK(J4)))</f>
        <v>1</v>
      </c>
      <c r="J4" s="13"/>
      <c r="K4" s="13"/>
      <c r="L4" s="13"/>
      <c r="M4" s="13"/>
      <c r="N4" s="13"/>
      <c r="Q4" s="6" t="b">
        <f>AND(IF($H4,IF($D4="COI",TRUE,IF($D4="COI/NCOI",IF(OR($J4="COI",$J4="COI/NCOI"),TRUE,FALSE),FALSE)),FALSE),Q$3)</f>
        <v>0</v>
      </c>
      <c r="R4" s="6" t="b">
        <f t="shared" ref="R4:T19" si="0">AND(IF($H4,IF($D4="COI",TRUE,IF($D4="COI/NCOI",IF(OR($J4="COI",$J4="COI/NCOI"),TRUE,FALSE),FALSE)),FALSE),R$3)</f>
        <v>0</v>
      </c>
      <c r="S4" s="6" t="b">
        <f t="shared" si="0"/>
        <v>0</v>
      </c>
      <c r="T4" s="6" t="b">
        <f t="shared" si="0"/>
        <v>0</v>
      </c>
      <c r="U4" s="6" t="b">
        <f t="shared" ref="U4:U49" si="1">IF(AND($H4,OR($D4="COI",$J4="COI", $J4="COI/NCOI")),AND(SUM($K4:$N4)&gt;0,SUM($K4:$N4)&lt;=required_cot),SUM($K4:$N4)=0)</f>
        <v>1</v>
      </c>
      <c r="V4" s="6" t="b">
        <f>IF(Q4,IF(NOT(ISBLANK(K4)),TRUE,FALSE),IF(ISBLANK(K4),TRUE,FALSE))</f>
        <v>1</v>
      </c>
      <c r="W4" s="6" t="b">
        <f t="shared" ref="W4:Y19" si="2">IF(R4,IF(NOT(ISBLANK(L4)),TRUE,FALSE),IF(ISBLANK(L4),TRUE,FALSE))</f>
        <v>1</v>
      </c>
      <c r="X4" s="6" t="b">
        <f t="shared" si="2"/>
        <v>1</v>
      </c>
      <c r="Y4" s="6" t="b">
        <f t="shared" si="2"/>
        <v>1</v>
      </c>
    </row>
    <row r="5" spans="2:25" ht="50.1" customHeight="1" x14ac:dyDescent="0.25">
      <c r="B5" s="13">
        <f>TBHPInd!A2</f>
        <v>1.1000000000000001</v>
      </c>
      <c r="C5" s="18" t="str">
        <f>TBHPInd!B2</f>
        <v>Modelled effective applications of content knowledge within and across curriculum teaching areas</v>
      </c>
      <c r="D5" s="13" t="str">
        <f>TBHPInd!D2</f>
        <v>COI</v>
      </c>
      <c r="E5" s="13">
        <f>TBHPInd!E2</f>
        <v>2</v>
      </c>
      <c r="F5" s="46"/>
      <c r="G5" s="81"/>
      <c r="H5" s="261" t="b">
        <v>0</v>
      </c>
      <c r="I5" s="6" t="b">
        <f t="shared" ref="I5:I49" si="3">OR(AND(H5,NOT(ISBLANK(G5)),OR(AND(D5="COI/NCOI",NOT(J5="")),AND(NOT(D5="COI/NCOI"),OR(D5=J5,J5="")))),AND(NOT(H5),ISBLANK(G5),ISBLANK(J5)))</f>
        <v>1</v>
      </c>
      <c r="J5" s="13"/>
      <c r="K5" s="137"/>
      <c r="L5" s="137"/>
      <c r="M5" s="137"/>
      <c r="N5" s="137"/>
      <c r="Q5" s="6" t="b">
        <f t="shared" ref="Q5:T49" si="4">AND(IF($H5,IF($D5="COI",TRUE,IF($D5="COI/NCOI",IF(OR($J5="COI",$J5="COI/NCOI"),TRUE,FALSE),FALSE)),FALSE),Q$3)</f>
        <v>0</v>
      </c>
      <c r="R5" s="6" t="b">
        <f t="shared" si="0"/>
        <v>0</v>
      </c>
      <c r="S5" s="6" t="b">
        <f t="shared" si="0"/>
        <v>0</v>
      </c>
      <c r="T5" s="6" t="b">
        <f t="shared" si="0"/>
        <v>0</v>
      </c>
      <c r="U5" s="6" t="b">
        <f t="shared" si="1"/>
        <v>1</v>
      </c>
      <c r="V5" s="6" t="b">
        <f>IF(Q5,IF(NOT(ISBLANK(K5)),TRUE,FALSE),IF(ISBLANK(K5),TRUE,FALSE))</f>
        <v>1</v>
      </c>
      <c r="W5" s="6" t="b">
        <f t="shared" si="2"/>
        <v>1</v>
      </c>
      <c r="X5" s="6" t="b">
        <f t="shared" si="2"/>
        <v>1</v>
      </c>
      <c r="Y5" s="6" t="b">
        <f t="shared" si="2"/>
        <v>1</v>
      </c>
    </row>
    <row r="6" spans="2:25" ht="50.1" customHeight="1" x14ac:dyDescent="0.25">
      <c r="B6" s="13">
        <f>TBHPInd!A3</f>
        <v>1.2</v>
      </c>
      <c r="C6" s="18" t="str">
        <f>TBHPInd!B3</f>
        <v>Collaborated with colleagues in the conduct and   application of research to enrich knowledge of content and pedagogy</v>
      </c>
      <c r="D6" s="13" t="str">
        <f>TBHPInd!D3</f>
        <v>NCOI</v>
      </c>
      <c r="E6" s="13">
        <f>TBHPInd!E3</f>
        <v>1</v>
      </c>
      <c r="F6" s="46"/>
      <c r="G6" s="81"/>
      <c r="H6" s="261" t="b">
        <v>0</v>
      </c>
      <c r="I6" s="6" t="b">
        <f t="shared" si="3"/>
        <v>1</v>
      </c>
      <c r="J6" s="13"/>
      <c r="K6" s="137"/>
      <c r="L6" s="137"/>
      <c r="M6" s="137"/>
      <c r="N6" s="137"/>
      <c r="Q6" s="6" t="b">
        <f t="shared" si="4"/>
        <v>0</v>
      </c>
      <c r="R6" s="6" t="b">
        <f t="shared" si="0"/>
        <v>0</v>
      </c>
      <c r="S6" s="6" t="b">
        <f t="shared" si="0"/>
        <v>0</v>
      </c>
      <c r="T6" s="6" t="b">
        <f t="shared" si="0"/>
        <v>0</v>
      </c>
      <c r="U6" s="6" t="b">
        <f t="shared" si="1"/>
        <v>1</v>
      </c>
      <c r="V6" s="6" t="b">
        <f t="shared" ref="V6:Y49" si="5">IF(Q6,IF(NOT(ISBLANK(K6)),TRUE,FALSE),IF(ISBLANK(K6),TRUE,FALSE))</f>
        <v>1</v>
      </c>
      <c r="W6" s="6" t="b">
        <f t="shared" si="2"/>
        <v>1</v>
      </c>
      <c r="X6" s="6" t="b">
        <f t="shared" si="2"/>
        <v>1</v>
      </c>
      <c r="Y6" s="6" t="b">
        <f t="shared" si="2"/>
        <v>1</v>
      </c>
    </row>
    <row r="7" spans="2:25" ht="50.1" customHeight="1" x14ac:dyDescent="0.25">
      <c r="B7" s="13">
        <f>TBHPInd!A4</f>
        <v>1.3</v>
      </c>
      <c r="C7" s="18" t="str">
        <f>TBHPInd!B4</f>
        <v>Promoted effective strategies in the positive use of ICT to facilitate the teaching and learning process</v>
      </c>
      <c r="D7" s="13" t="str">
        <f>TBHPInd!D4</f>
        <v>NCOI</v>
      </c>
      <c r="E7" s="13">
        <f>TBHPInd!E4</f>
        <v>2</v>
      </c>
      <c r="F7" s="46"/>
      <c r="G7" s="81"/>
      <c r="H7" s="261" t="b">
        <v>0</v>
      </c>
      <c r="I7" s="6" t="b">
        <f t="shared" si="3"/>
        <v>1</v>
      </c>
      <c r="J7" s="13"/>
      <c r="K7" s="137"/>
      <c r="L7" s="137"/>
      <c r="M7" s="137"/>
      <c r="N7" s="137"/>
      <c r="Q7" s="6" t="b">
        <f t="shared" si="4"/>
        <v>0</v>
      </c>
      <c r="R7" s="6" t="b">
        <f t="shared" si="0"/>
        <v>0</v>
      </c>
      <c r="S7" s="6" t="b">
        <f t="shared" si="0"/>
        <v>0</v>
      </c>
      <c r="T7" s="6" t="b">
        <f t="shared" si="0"/>
        <v>0</v>
      </c>
      <c r="U7" s="6" t="b">
        <f t="shared" si="1"/>
        <v>1</v>
      </c>
      <c r="V7" s="6" t="b">
        <f t="shared" si="5"/>
        <v>1</v>
      </c>
      <c r="W7" s="6" t="b">
        <f t="shared" si="2"/>
        <v>1</v>
      </c>
      <c r="X7" s="6" t="b">
        <f t="shared" si="2"/>
        <v>1</v>
      </c>
      <c r="Y7" s="6" t="b">
        <f t="shared" si="2"/>
        <v>1</v>
      </c>
    </row>
    <row r="8" spans="2:25" ht="50.1" customHeight="1" x14ac:dyDescent="0.25">
      <c r="B8" s="13">
        <f>TBHPInd!A5</f>
        <v>1.4</v>
      </c>
      <c r="C8" s="18" t="str">
        <f>TBHPInd!B5</f>
        <v>Evaluated with colleagues the effectiveness of teaching strategies that promote learner achievement in literacy and numeracy</v>
      </c>
      <c r="D8" s="13" t="str">
        <f>TBHPInd!D5</f>
        <v>COI</v>
      </c>
      <c r="E8" s="13">
        <f>TBHPInd!E5</f>
        <v>3</v>
      </c>
      <c r="F8" s="46"/>
      <c r="G8" s="81"/>
      <c r="H8" s="261" t="b">
        <v>0</v>
      </c>
      <c r="I8" s="6" t="b">
        <f t="shared" si="3"/>
        <v>1</v>
      </c>
      <c r="J8" s="13"/>
      <c r="K8" s="137"/>
      <c r="L8" s="137"/>
      <c r="M8" s="137"/>
      <c r="N8" s="137"/>
      <c r="Q8" s="6" t="b">
        <f t="shared" si="4"/>
        <v>0</v>
      </c>
      <c r="R8" s="6" t="b">
        <f t="shared" si="0"/>
        <v>0</v>
      </c>
      <c r="S8" s="6" t="b">
        <f t="shared" si="0"/>
        <v>0</v>
      </c>
      <c r="T8" s="6" t="b">
        <f t="shared" si="0"/>
        <v>0</v>
      </c>
      <c r="U8" s="6" t="b">
        <f t="shared" si="1"/>
        <v>1</v>
      </c>
      <c r="V8" s="6" t="b">
        <f t="shared" si="5"/>
        <v>1</v>
      </c>
      <c r="W8" s="6" t="b">
        <f t="shared" si="2"/>
        <v>1</v>
      </c>
      <c r="X8" s="6" t="b">
        <f t="shared" si="2"/>
        <v>1</v>
      </c>
      <c r="Y8" s="6" t="b">
        <f t="shared" si="2"/>
        <v>1</v>
      </c>
    </row>
    <row r="9" spans="2:25" ht="50.1" customHeight="1" x14ac:dyDescent="0.25">
      <c r="B9" s="13">
        <f>TBHPInd!A6</f>
        <v>1.5</v>
      </c>
      <c r="C9" s="18" t="str">
        <f>TBHPInd!B6</f>
        <v>Developed and applied effective teaching strategies to promote critical and creative thinking, as well as other higher-order thinking skills</v>
      </c>
      <c r="D9" s="13" t="str">
        <f>TBHPInd!D6</f>
        <v>COI</v>
      </c>
      <c r="E9" s="13">
        <f>TBHPInd!E6</f>
        <v>2</v>
      </c>
      <c r="F9" s="46"/>
      <c r="G9" s="81"/>
      <c r="H9" s="261" t="b">
        <v>0</v>
      </c>
      <c r="I9" s="6" t="b">
        <f t="shared" si="3"/>
        <v>1</v>
      </c>
      <c r="J9" s="13"/>
      <c r="K9" s="137"/>
      <c r="L9" s="137"/>
      <c r="M9" s="137"/>
      <c r="N9" s="137"/>
      <c r="Q9" s="6" t="b">
        <f t="shared" si="4"/>
        <v>0</v>
      </c>
      <c r="R9" s="6" t="b">
        <f t="shared" si="0"/>
        <v>0</v>
      </c>
      <c r="S9" s="6" t="b">
        <f t="shared" si="0"/>
        <v>0</v>
      </c>
      <c r="T9" s="6" t="b">
        <f t="shared" si="0"/>
        <v>0</v>
      </c>
      <c r="U9" s="6" t="b">
        <f t="shared" si="1"/>
        <v>1</v>
      </c>
      <c r="V9" s="6" t="b">
        <f t="shared" si="5"/>
        <v>1</v>
      </c>
      <c r="W9" s="6" t="b">
        <f t="shared" si="2"/>
        <v>1</v>
      </c>
      <c r="X9" s="6" t="b">
        <f t="shared" si="2"/>
        <v>1</v>
      </c>
      <c r="Y9" s="6" t="b">
        <f t="shared" si="2"/>
        <v>1</v>
      </c>
    </row>
    <row r="10" spans="2:25" ht="50.1" customHeight="1" x14ac:dyDescent="0.25">
      <c r="B10" s="13">
        <f>TBHPInd!A7</f>
        <v>1.6</v>
      </c>
      <c r="C10" s="18" t="str">
        <f>TBHPInd!B7</f>
        <v>Modelled and supported colleagues in the proficient use of Mother Tongue, Filipino and English to improve teaching and learning, as well as to develop learners’ pride of their language, heritage and culture</v>
      </c>
      <c r="D10" s="13" t="str">
        <f>TBHPInd!D7</f>
        <v>COI</v>
      </c>
      <c r="E10" s="13">
        <f>TBHPInd!E7</f>
        <v>3</v>
      </c>
      <c r="F10" s="46"/>
      <c r="G10" s="81"/>
      <c r="H10" s="261" t="b">
        <v>0</v>
      </c>
      <c r="I10" s="6" t="b">
        <f t="shared" si="3"/>
        <v>1</v>
      </c>
      <c r="J10" s="13"/>
      <c r="K10" s="137"/>
      <c r="L10" s="137"/>
      <c r="M10" s="137"/>
      <c r="N10" s="137"/>
      <c r="Q10" s="6" t="b">
        <f t="shared" si="4"/>
        <v>0</v>
      </c>
      <c r="R10" s="6" t="b">
        <f t="shared" si="0"/>
        <v>0</v>
      </c>
      <c r="S10" s="6" t="b">
        <f t="shared" si="0"/>
        <v>0</v>
      </c>
      <c r="T10" s="6" t="b">
        <f t="shared" si="0"/>
        <v>0</v>
      </c>
      <c r="U10" s="6" t="b">
        <f t="shared" si="1"/>
        <v>1</v>
      </c>
      <c r="V10" s="6" t="b">
        <f t="shared" si="5"/>
        <v>1</v>
      </c>
      <c r="W10" s="6" t="b">
        <f t="shared" si="2"/>
        <v>1</v>
      </c>
      <c r="X10" s="6" t="b">
        <f t="shared" si="2"/>
        <v>1</v>
      </c>
      <c r="Y10" s="6" t="b">
        <f t="shared" si="2"/>
        <v>1</v>
      </c>
    </row>
    <row r="11" spans="2:25" ht="50.1" customHeight="1" x14ac:dyDescent="0.25">
      <c r="B11" s="13">
        <f>TBHPInd!A8</f>
        <v>1.7</v>
      </c>
      <c r="C11" s="18" t="str">
        <f>TBHPInd!B8</f>
        <v>Displayed a wide range of effective verbal and non-verbal classroom communication strategies to support learner understanding, participation, engagement and achievement</v>
      </c>
      <c r="D11" s="13" t="str">
        <f>TBHPInd!D8</f>
        <v>COI</v>
      </c>
      <c r="E11" s="13">
        <f>TBHPInd!E8</f>
        <v>3</v>
      </c>
      <c r="F11" s="46"/>
      <c r="G11" s="81"/>
      <c r="H11" s="261" t="b">
        <v>0</v>
      </c>
      <c r="I11" s="6" t="b">
        <f t="shared" si="3"/>
        <v>1</v>
      </c>
      <c r="J11" s="13"/>
      <c r="K11" s="137"/>
      <c r="L11" s="137"/>
      <c r="M11" s="137"/>
      <c r="N11" s="137"/>
      <c r="Q11" s="6" t="b">
        <f t="shared" si="4"/>
        <v>0</v>
      </c>
      <c r="R11" s="6" t="b">
        <f t="shared" si="0"/>
        <v>0</v>
      </c>
      <c r="S11" s="6" t="b">
        <f t="shared" si="0"/>
        <v>0</v>
      </c>
      <c r="T11" s="6" t="b">
        <f t="shared" si="0"/>
        <v>0</v>
      </c>
      <c r="U11" s="6" t="b">
        <f t="shared" si="1"/>
        <v>1</v>
      </c>
      <c r="V11" s="6" t="b">
        <f t="shared" si="5"/>
        <v>1</v>
      </c>
      <c r="W11" s="6" t="b">
        <f t="shared" si="2"/>
        <v>1</v>
      </c>
      <c r="X11" s="6" t="b">
        <f t="shared" si="2"/>
        <v>1</v>
      </c>
      <c r="Y11" s="6" t="b">
        <f t="shared" si="2"/>
        <v>1</v>
      </c>
    </row>
    <row r="12" spans="2:25" s="7" customFormat="1" x14ac:dyDescent="0.25">
      <c r="B12" s="347" t="s">
        <v>896</v>
      </c>
      <c r="C12" s="347"/>
      <c r="D12" s="347"/>
      <c r="E12" s="347"/>
      <c r="F12" s="348"/>
      <c r="G12" s="203"/>
      <c r="H12" s="6"/>
      <c r="I12" s="6" t="b">
        <f t="shared" si="3"/>
        <v>1</v>
      </c>
      <c r="J12" s="13"/>
      <c r="K12" s="13"/>
      <c r="L12" s="13"/>
      <c r="M12" s="13"/>
      <c r="N12" s="13"/>
      <c r="Q12" s="6" t="b">
        <f t="shared" si="4"/>
        <v>0</v>
      </c>
      <c r="R12" s="6" t="b">
        <f t="shared" si="0"/>
        <v>0</v>
      </c>
      <c r="S12" s="6" t="b">
        <f t="shared" si="0"/>
        <v>0</v>
      </c>
      <c r="T12" s="6" t="b">
        <f t="shared" si="0"/>
        <v>0</v>
      </c>
      <c r="U12" s="6" t="b">
        <f t="shared" si="1"/>
        <v>1</v>
      </c>
      <c r="V12" s="6" t="b">
        <f t="shared" si="5"/>
        <v>1</v>
      </c>
      <c r="W12" s="6" t="b">
        <f t="shared" si="2"/>
        <v>1</v>
      </c>
      <c r="X12" s="6" t="b">
        <f t="shared" si="2"/>
        <v>1</v>
      </c>
      <c r="Y12" s="6" t="b">
        <f t="shared" si="2"/>
        <v>1</v>
      </c>
    </row>
    <row r="13" spans="2:25" ht="50.1" customHeight="1" x14ac:dyDescent="0.25">
      <c r="B13" s="13">
        <f>TBHPInd!A9</f>
        <v>2.1</v>
      </c>
      <c r="C13" s="18" t="str">
        <f>TBHPInd!B9</f>
        <v>Exhibited effective strategies that ensure safe and secure learning environments to enhance learning through the consistent implementation of policies, guidelines and procedures</v>
      </c>
      <c r="D13" s="13" t="str">
        <f>TBHPInd!D9</f>
        <v>COI</v>
      </c>
      <c r="E13" s="13">
        <f>TBHPInd!E9</f>
        <v>3</v>
      </c>
      <c r="F13" s="46"/>
      <c r="G13" s="81"/>
      <c r="H13" s="261" t="b">
        <v>0</v>
      </c>
      <c r="I13" s="6" t="b">
        <f t="shared" si="3"/>
        <v>1</v>
      </c>
      <c r="J13" s="13"/>
      <c r="K13" s="137"/>
      <c r="L13" s="137"/>
      <c r="M13" s="137"/>
      <c r="N13" s="137"/>
      <c r="Q13" s="6" t="b">
        <f t="shared" si="4"/>
        <v>0</v>
      </c>
      <c r="R13" s="6" t="b">
        <f t="shared" si="0"/>
        <v>0</v>
      </c>
      <c r="S13" s="6" t="b">
        <f t="shared" si="0"/>
        <v>0</v>
      </c>
      <c r="T13" s="6" t="b">
        <f t="shared" si="0"/>
        <v>0</v>
      </c>
      <c r="U13" s="6" t="b">
        <f t="shared" si="1"/>
        <v>1</v>
      </c>
      <c r="V13" s="6" t="b">
        <f t="shared" si="5"/>
        <v>1</v>
      </c>
      <c r="W13" s="6" t="b">
        <f t="shared" si="2"/>
        <v>1</v>
      </c>
      <c r="X13" s="6" t="b">
        <f t="shared" si="2"/>
        <v>1</v>
      </c>
      <c r="Y13" s="6" t="b">
        <f t="shared" si="2"/>
        <v>1</v>
      </c>
    </row>
    <row r="14" spans="2:25" ht="50.1" customHeight="1" x14ac:dyDescent="0.25">
      <c r="B14" s="13">
        <f>TBHPInd!A10</f>
        <v>2.2000000000000002</v>
      </c>
      <c r="C14" s="18" t="str">
        <f>TBHPInd!B10</f>
        <v>Exhibited effective practices to foster learning environments that promote fairness, respect and care to encourage learning</v>
      </c>
      <c r="D14" s="13" t="str">
        <f>TBHPInd!D10</f>
        <v>COI</v>
      </c>
      <c r="E14" s="13">
        <f>TBHPInd!E10</f>
        <v>3</v>
      </c>
      <c r="F14" s="46"/>
      <c r="G14" s="81"/>
      <c r="H14" s="261" t="b">
        <v>0</v>
      </c>
      <c r="I14" s="6" t="b">
        <f t="shared" si="3"/>
        <v>1</v>
      </c>
      <c r="J14" s="13"/>
      <c r="K14" s="137"/>
      <c r="L14" s="137"/>
      <c r="M14" s="137"/>
      <c r="N14" s="137"/>
      <c r="Q14" s="6" t="b">
        <f t="shared" si="4"/>
        <v>0</v>
      </c>
      <c r="R14" s="6" t="b">
        <f t="shared" si="0"/>
        <v>0</v>
      </c>
      <c r="S14" s="6" t="b">
        <f t="shared" si="0"/>
        <v>0</v>
      </c>
      <c r="T14" s="6" t="b">
        <f t="shared" si="0"/>
        <v>0</v>
      </c>
      <c r="U14" s="6" t="b">
        <f t="shared" si="1"/>
        <v>1</v>
      </c>
      <c r="V14" s="6" t="b">
        <f t="shared" si="5"/>
        <v>1</v>
      </c>
      <c r="W14" s="6" t="b">
        <f t="shared" si="2"/>
        <v>1</v>
      </c>
      <c r="X14" s="6" t="b">
        <f t="shared" si="2"/>
        <v>1</v>
      </c>
      <c r="Y14" s="6" t="b">
        <f t="shared" si="2"/>
        <v>1</v>
      </c>
    </row>
    <row r="15" spans="2:25" ht="65.099999999999994" customHeight="1" x14ac:dyDescent="0.25">
      <c r="B15" s="13">
        <f>TBHPInd!A11</f>
        <v>2.2999999999999998</v>
      </c>
      <c r="C15" s="18" t="str">
        <f>TBHPInd!B11</f>
        <v>Worked with colleagues to model and share effective techniques in the management of classroom structure to engage learners, individually or in groups, in meaningful exploration, discovery and hands-on activities within a range of physical learning environments</v>
      </c>
      <c r="D15" s="13" t="str">
        <f>TBHPInd!D11</f>
        <v>COI</v>
      </c>
      <c r="E15" s="13">
        <f>TBHPInd!E11</f>
        <v>1</v>
      </c>
      <c r="F15" s="46"/>
      <c r="G15" s="81"/>
      <c r="H15" s="261" t="b">
        <v>0</v>
      </c>
      <c r="I15" s="6" t="b">
        <f t="shared" si="3"/>
        <v>1</v>
      </c>
      <c r="J15" s="13"/>
      <c r="K15" s="137"/>
      <c r="L15" s="137"/>
      <c r="M15" s="137"/>
      <c r="N15" s="137"/>
      <c r="Q15" s="6" t="b">
        <f t="shared" si="4"/>
        <v>0</v>
      </c>
      <c r="R15" s="6" t="b">
        <f t="shared" si="0"/>
        <v>0</v>
      </c>
      <c r="S15" s="6" t="b">
        <f t="shared" si="0"/>
        <v>0</v>
      </c>
      <c r="T15" s="6" t="b">
        <f t="shared" si="0"/>
        <v>0</v>
      </c>
      <c r="U15" s="6" t="b">
        <f t="shared" si="1"/>
        <v>1</v>
      </c>
      <c r="V15" s="6" t="b">
        <f t="shared" si="5"/>
        <v>1</v>
      </c>
      <c r="W15" s="6" t="b">
        <f t="shared" si="2"/>
        <v>1</v>
      </c>
      <c r="X15" s="6" t="b">
        <f t="shared" si="2"/>
        <v>1</v>
      </c>
      <c r="Y15" s="6" t="b">
        <f t="shared" si="2"/>
        <v>1</v>
      </c>
    </row>
    <row r="16" spans="2:25" ht="50.1" customHeight="1" x14ac:dyDescent="0.25">
      <c r="B16" s="13">
        <f>TBHPInd!A12</f>
        <v>2.4</v>
      </c>
      <c r="C16" s="18" t="str">
        <f>TBHPInd!B12</f>
        <v>Worked with colleagues to share successful strategies that sustain supportive learning environments that nurture and inspire learners to participate, cooperate and collaborate in continued learning</v>
      </c>
      <c r="D16" s="13" t="str">
        <f>TBHPInd!D12</f>
        <v>NCOI</v>
      </c>
      <c r="E16" s="13">
        <f>TBHPInd!E12</f>
        <v>3</v>
      </c>
      <c r="F16" s="46"/>
      <c r="G16" s="81"/>
      <c r="H16" s="261" t="b">
        <v>0</v>
      </c>
      <c r="I16" s="6" t="b">
        <f t="shared" si="3"/>
        <v>1</v>
      </c>
      <c r="J16" s="13"/>
      <c r="K16" s="137"/>
      <c r="L16" s="137"/>
      <c r="M16" s="137"/>
      <c r="N16" s="137"/>
      <c r="Q16" s="6" t="b">
        <f t="shared" si="4"/>
        <v>0</v>
      </c>
      <c r="R16" s="6" t="b">
        <f t="shared" si="0"/>
        <v>0</v>
      </c>
      <c r="S16" s="6" t="b">
        <f t="shared" si="0"/>
        <v>0</v>
      </c>
      <c r="T16" s="6" t="b">
        <f t="shared" si="0"/>
        <v>0</v>
      </c>
      <c r="U16" s="6" t="b">
        <f t="shared" si="1"/>
        <v>1</v>
      </c>
      <c r="V16" s="6" t="b">
        <f t="shared" si="5"/>
        <v>1</v>
      </c>
      <c r="W16" s="6" t="b">
        <f t="shared" si="2"/>
        <v>1</v>
      </c>
      <c r="X16" s="6" t="b">
        <f t="shared" si="2"/>
        <v>1</v>
      </c>
      <c r="Y16" s="6" t="b">
        <f t="shared" si="2"/>
        <v>1</v>
      </c>
    </row>
    <row r="17" spans="2:25" ht="50.1" customHeight="1" x14ac:dyDescent="0.25">
      <c r="B17" s="13">
        <f>TBHPInd!A13</f>
        <v>2.5</v>
      </c>
      <c r="C17" s="18" t="str">
        <f>TBHPInd!B13</f>
        <v>Modelled successful strategies and supported colleagues in promoting learning environments that effectively motivate learners to work productively by assuming responsibility for their own learning</v>
      </c>
      <c r="D17" s="13" t="str">
        <f>TBHPInd!D13</f>
        <v>NCOI</v>
      </c>
      <c r="E17" s="13">
        <f>TBHPInd!E13</f>
        <v>3</v>
      </c>
      <c r="F17" s="46"/>
      <c r="G17" s="81"/>
      <c r="H17" s="261" t="b">
        <v>0</v>
      </c>
      <c r="I17" s="6" t="b">
        <f t="shared" si="3"/>
        <v>1</v>
      </c>
      <c r="J17" s="13"/>
      <c r="K17" s="137"/>
      <c r="L17" s="137"/>
      <c r="M17" s="137"/>
      <c r="N17" s="137"/>
      <c r="Q17" s="6" t="b">
        <f t="shared" si="4"/>
        <v>0</v>
      </c>
      <c r="R17" s="6" t="b">
        <f t="shared" si="0"/>
        <v>0</v>
      </c>
      <c r="S17" s="6" t="b">
        <f t="shared" si="0"/>
        <v>0</v>
      </c>
      <c r="T17" s="6" t="b">
        <f t="shared" si="0"/>
        <v>0</v>
      </c>
      <c r="U17" s="6" t="b">
        <f t="shared" si="1"/>
        <v>1</v>
      </c>
      <c r="V17" s="6" t="b">
        <f t="shared" si="5"/>
        <v>1</v>
      </c>
      <c r="W17" s="6" t="b">
        <f t="shared" si="2"/>
        <v>1</v>
      </c>
      <c r="X17" s="6" t="b">
        <f t="shared" si="2"/>
        <v>1</v>
      </c>
      <c r="Y17" s="6" t="b">
        <f t="shared" si="2"/>
        <v>1</v>
      </c>
    </row>
    <row r="18" spans="2:25" ht="50.1" customHeight="1" x14ac:dyDescent="0.25">
      <c r="B18" s="13">
        <f>TBHPInd!A14</f>
        <v>2.6</v>
      </c>
      <c r="C18" s="18" t="str">
        <f>TBHPInd!B14</f>
        <v>Exhibited effective and constructive behavior management skills by applying positive and non-violent discipline to ensure learning- focused environments</v>
      </c>
      <c r="D18" s="13" t="str">
        <f>TBHPInd!D14</f>
        <v>COI</v>
      </c>
      <c r="E18" s="13">
        <f>TBHPInd!E14</f>
        <v>1</v>
      </c>
      <c r="F18" s="46"/>
      <c r="G18" s="81"/>
      <c r="H18" s="261" t="b">
        <v>0</v>
      </c>
      <c r="I18" s="6" t="b">
        <f t="shared" si="3"/>
        <v>1</v>
      </c>
      <c r="J18" s="13"/>
      <c r="K18" s="137"/>
      <c r="L18" s="137"/>
      <c r="M18" s="137"/>
      <c r="N18" s="137"/>
      <c r="Q18" s="6" t="b">
        <f t="shared" si="4"/>
        <v>0</v>
      </c>
      <c r="R18" s="6" t="b">
        <f t="shared" si="0"/>
        <v>0</v>
      </c>
      <c r="S18" s="6" t="b">
        <f t="shared" si="0"/>
        <v>0</v>
      </c>
      <c r="T18" s="6" t="b">
        <f t="shared" si="0"/>
        <v>0</v>
      </c>
      <c r="U18" s="6" t="b">
        <f t="shared" si="1"/>
        <v>1</v>
      </c>
      <c r="V18" s="6" t="b">
        <f t="shared" si="5"/>
        <v>1</v>
      </c>
      <c r="W18" s="6" t="b">
        <f t="shared" si="2"/>
        <v>1</v>
      </c>
      <c r="X18" s="6" t="b">
        <f t="shared" si="2"/>
        <v>1</v>
      </c>
      <c r="Y18" s="6" t="b">
        <f t="shared" si="2"/>
        <v>1</v>
      </c>
    </row>
    <row r="19" spans="2:25" s="7" customFormat="1" x14ac:dyDescent="0.25">
      <c r="B19" s="347" t="s">
        <v>897</v>
      </c>
      <c r="C19" s="347"/>
      <c r="D19" s="347"/>
      <c r="E19" s="347"/>
      <c r="F19" s="348"/>
      <c r="G19" s="203"/>
      <c r="H19" s="6"/>
      <c r="I19" s="6" t="b">
        <f t="shared" si="3"/>
        <v>1</v>
      </c>
      <c r="J19" s="13"/>
      <c r="K19" s="13"/>
      <c r="L19" s="13"/>
      <c r="M19" s="13"/>
      <c r="N19" s="13"/>
      <c r="Q19" s="6" t="b">
        <f t="shared" si="4"/>
        <v>0</v>
      </c>
      <c r="R19" s="6" t="b">
        <f t="shared" si="0"/>
        <v>0</v>
      </c>
      <c r="S19" s="6" t="b">
        <f t="shared" si="0"/>
        <v>0</v>
      </c>
      <c r="T19" s="6" t="b">
        <f t="shared" si="0"/>
        <v>0</v>
      </c>
      <c r="U19" s="6" t="b">
        <f t="shared" si="1"/>
        <v>1</v>
      </c>
      <c r="V19" s="6" t="b">
        <f t="shared" si="5"/>
        <v>1</v>
      </c>
      <c r="W19" s="6" t="b">
        <f t="shared" si="2"/>
        <v>1</v>
      </c>
      <c r="X19" s="6" t="b">
        <f t="shared" si="2"/>
        <v>1</v>
      </c>
      <c r="Y19" s="6" t="b">
        <f t="shared" si="2"/>
        <v>1</v>
      </c>
    </row>
    <row r="20" spans="2:25" ht="50.1" customHeight="1" x14ac:dyDescent="0.25">
      <c r="B20" s="13">
        <f>TBHPInd!A15</f>
        <v>3.1</v>
      </c>
      <c r="C20" s="18" t="str">
        <f>TBHPInd!B15</f>
        <v>Worked with colleagues to share differentiated, developmentally appropriate opportunities to address learners’ differences in gender, needs, strengths, interests and experiences</v>
      </c>
      <c r="D20" s="13" t="str">
        <f>TBHPInd!D15</f>
        <v>NCOI</v>
      </c>
      <c r="E20" s="13">
        <f>TBHPInd!E15</f>
        <v>1</v>
      </c>
      <c r="F20" s="46"/>
      <c r="G20" s="81"/>
      <c r="H20" s="261" t="b">
        <v>0</v>
      </c>
      <c r="I20" s="6" t="b">
        <f t="shared" si="3"/>
        <v>1</v>
      </c>
      <c r="J20" s="13"/>
      <c r="K20" s="137"/>
      <c r="L20" s="137"/>
      <c r="M20" s="137"/>
      <c r="N20" s="137"/>
      <c r="Q20" s="6" t="b">
        <f t="shared" si="4"/>
        <v>0</v>
      </c>
      <c r="R20" s="6" t="b">
        <f t="shared" si="4"/>
        <v>0</v>
      </c>
      <c r="S20" s="6" t="b">
        <f t="shared" si="4"/>
        <v>0</v>
      </c>
      <c r="T20" s="6" t="b">
        <f t="shared" si="4"/>
        <v>0</v>
      </c>
      <c r="U20" s="6" t="b">
        <f t="shared" si="1"/>
        <v>1</v>
      </c>
      <c r="V20" s="6" t="b">
        <f t="shared" si="5"/>
        <v>1</v>
      </c>
      <c r="W20" s="6" t="b">
        <f t="shared" si="5"/>
        <v>1</v>
      </c>
      <c r="X20" s="6" t="b">
        <f t="shared" si="5"/>
        <v>1</v>
      </c>
      <c r="Y20" s="6" t="b">
        <f t="shared" si="5"/>
        <v>1</v>
      </c>
    </row>
    <row r="21" spans="2:25" ht="50.1" customHeight="1" x14ac:dyDescent="0.25">
      <c r="B21" s="13">
        <f>TBHPInd!A16</f>
        <v>3.2</v>
      </c>
      <c r="C21" s="18" t="str">
        <f>TBHPInd!B16</f>
        <v>Exhibited a learner-centered culture that promotes success by using effective teaching strategies that respond to their linguistic, cultural, socioeconomic and religious backgrounds</v>
      </c>
      <c r="D21" s="13" t="str">
        <f>TBHPInd!D16</f>
        <v>NCOI</v>
      </c>
      <c r="E21" s="13">
        <f>TBHPInd!E16</f>
        <v>2</v>
      </c>
      <c r="F21" s="46"/>
      <c r="G21" s="81"/>
      <c r="H21" s="261" t="b">
        <v>0</v>
      </c>
      <c r="I21" s="6" t="b">
        <f t="shared" si="3"/>
        <v>1</v>
      </c>
      <c r="J21" s="13"/>
      <c r="K21" s="137"/>
      <c r="L21" s="137"/>
      <c r="M21" s="137"/>
      <c r="N21" s="137"/>
      <c r="Q21" s="6" t="b">
        <f t="shared" si="4"/>
        <v>0</v>
      </c>
      <c r="R21" s="6" t="b">
        <f t="shared" si="4"/>
        <v>0</v>
      </c>
      <c r="S21" s="6" t="b">
        <f t="shared" si="4"/>
        <v>0</v>
      </c>
      <c r="T21" s="6" t="b">
        <f t="shared" si="4"/>
        <v>0</v>
      </c>
      <c r="U21" s="6" t="b">
        <f t="shared" si="1"/>
        <v>1</v>
      </c>
      <c r="V21" s="6" t="b">
        <f t="shared" si="5"/>
        <v>1</v>
      </c>
      <c r="W21" s="6" t="b">
        <f t="shared" si="5"/>
        <v>1</v>
      </c>
      <c r="X21" s="6" t="b">
        <f t="shared" si="5"/>
        <v>1</v>
      </c>
      <c r="Y21" s="6" t="b">
        <f t="shared" si="5"/>
        <v>1</v>
      </c>
    </row>
    <row r="22" spans="2:25" ht="50.1" customHeight="1" x14ac:dyDescent="0.25">
      <c r="B22" s="13">
        <f>TBHPInd!A17</f>
        <v>3.3</v>
      </c>
      <c r="C22" s="18" t="str">
        <f>TBHPInd!B17</f>
        <v>Assisted colleagues to design, adapt and implement teaching strategies that are responsive to learners with disabilities, giftedness and talents</v>
      </c>
      <c r="D22" s="13" t="str">
        <f>TBHPInd!D17</f>
        <v>COI/NCOI</v>
      </c>
      <c r="E22" s="13">
        <f>TBHPInd!E17</f>
        <v>3</v>
      </c>
      <c r="F22" s="46"/>
      <c r="G22" s="81"/>
      <c r="H22" s="261" t="b">
        <v>0</v>
      </c>
      <c r="I22" s="6" t="b">
        <f t="shared" si="3"/>
        <v>1</v>
      </c>
      <c r="J22" s="13"/>
      <c r="K22" s="137"/>
      <c r="L22" s="137"/>
      <c r="M22" s="137"/>
      <c r="N22" s="137"/>
      <c r="Q22" s="6" t="b">
        <f t="shared" si="4"/>
        <v>0</v>
      </c>
      <c r="R22" s="6" t="b">
        <f t="shared" si="4"/>
        <v>0</v>
      </c>
      <c r="S22" s="6" t="b">
        <f t="shared" si="4"/>
        <v>0</v>
      </c>
      <c r="T22" s="6" t="b">
        <f t="shared" si="4"/>
        <v>0</v>
      </c>
      <c r="U22" s="6" t="b">
        <f t="shared" si="1"/>
        <v>1</v>
      </c>
      <c r="V22" s="6" t="b">
        <f t="shared" si="5"/>
        <v>1</v>
      </c>
      <c r="W22" s="6" t="b">
        <f t="shared" si="5"/>
        <v>1</v>
      </c>
      <c r="X22" s="6" t="b">
        <f t="shared" si="5"/>
        <v>1</v>
      </c>
      <c r="Y22" s="6" t="b">
        <f t="shared" si="5"/>
        <v>1</v>
      </c>
    </row>
    <row r="23" spans="2:25" ht="72.599999999999994" customHeight="1" x14ac:dyDescent="0.25">
      <c r="B23" s="13">
        <f>TBHPInd!A18</f>
        <v>3.4</v>
      </c>
      <c r="C23" s="18" t="str">
        <f>TBHPInd!B18</f>
        <v>Evaluated with colleagues teaching strategies that are responsive to the special educational needs of learners in difficult circumstances*, including: geographic isolation; chronic illness; displacement due to armed conflict, urban resettlement or disasters; child abuse and child labor practices</v>
      </c>
      <c r="D23" s="13" t="str">
        <f>TBHPInd!D18</f>
        <v>COI</v>
      </c>
      <c r="E23" s="13">
        <f>TBHPInd!E18</f>
        <v>2</v>
      </c>
      <c r="F23" s="46"/>
      <c r="G23" s="81"/>
      <c r="H23" s="261" t="b">
        <v>0</v>
      </c>
      <c r="I23" s="6" t="b">
        <f t="shared" si="3"/>
        <v>1</v>
      </c>
      <c r="J23" s="13"/>
      <c r="K23" s="137"/>
      <c r="L23" s="137"/>
      <c r="M23" s="137"/>
      <c r="N23" s="137"/>
      <c r="Q23" s="6" t="b">
        <f t="shared" si="4"/>
        <v>0</v>
      </c>
      <c r="R23" s="6" t="b">
        <f t="shared" si="4"/>
        <v>0</v>
      </c>
      <c r="S23" s="6" t="b">
        <f t="shared" si="4"/>
        <v>0</v>
      </c>
      <c r="T23" s="6" t="b">
        <f t="shared" si="4"/>
        <v>0</v>
      </c>
      <c r="U23" s="6" t="b">
        <f t="shared" si="1"/>
        <v>1</v>
      </c>
      <c r="V23" s="6" t="b">
        <f t="shared" si="5"/>
        <v>1</v>
      </c>
      <c r="W23" s="6" t="b">
        <f t="shared" si="5"/>
        <v>1</v>
      </c>
      <c r="X23" s="6" t="b">
        <f t="shared" si="5"/>
        <v>1</v>
      </c>
      <c r="Y23" s="6" t="b">
        <f t="shared" si="5"/>
        <v>1</v>
      </c>
    </row>
    <row r="24" spans="2:25" ht="50.1" customHeight="1" x14ac:dyDescent="0.25">
      <c r="B24" s="13">
        <f>TBHPInd!A19</f>
        <v>3.5</v>
      </c>
      <c r="C24" s="18" t="str">
        <f>TBHPInd!B19</f>
        <v>Developed and applied teaching strategies to address effectively the needs of learners from indigenous groups</v>
      </c>
      <c r="D24" s="13" t="str">
        <f>TBHPInd!D19</f>
        <v>COI/NCOI</v>
      </c>
      <c r="E24" s="13">
        <f>TBHPInd!E19</f>
        <v>3</v>
      </c>
      <c r="F24" s="46"/>
      <c r="G24" s="81"/>
      <c r="H24" s="261" t="b">
        <v>0</v>
      </c>
      <c r="I24" s="6" t="b">
        <f t="shared" si="3"/>
        <v>1</v>
      </c>
      <c r="J24" s="13"/>
      <c r="K24" s="137"/>
      <c r="L24" s="137"/>
      <c r="M24" s="137"/>
      <c r="N24" s="137"/>
      <c r="Q24" s="6" t="b">
        <f t="shared" si="4"/>
        <v>0</v>
      </c>
      <c r="R24" s="6" t="b">
        <f t="shared" si="4"/>
        <v>0</v>
      </c>
      <c r="S24" s="6" t="b">
        <f t="shared" si="4"/>
        <v>0</v>
      </c>
      <c r="T24" s="6" t="b">
        <f t="shared" si="4"/>
        <v>0</v>
      </c>
      <c r="U24" s="6" t="b">
        <f t="shared" si="1"/>
        <v>1</v>
      </c>
      <c r="V24" s="6" t="b">
        <f t="shared" si="5"/>
        <v>1</v>
      </c>
      <c r="W24" s="6" t="b">
        <f t="shared" si="5"/>
        <v>1</v>
      </c>
      <c r="X24" s="6" t="b">
        <f t="shared" si="5"/>
        <v>1</v>
      </c>
      <c r="Y24" s="6" t="b">
        <f t="shared" si="5"/>
        <v>1</v>
      </c>
    </row>
    <row r="25" spans="2:25" s="7" customFormat="1" x14ac:dyDescent="0.25">
      <c r="B25" s="347" t="s">
        <v>898</v>
      </c>
      <c r="C25" s="347"/>
      <c r="D25" s="347"/>
      <c r="E25" s="347"/>
      <c r="F25" s="348"/>
      <c r="G25" s="203"/>
      <c r="H25" s="6"/>
      <c r="I25" s="6" t="b">
        <f t="shared" si="3"/>
        <v>1</v>
      </c>
      <c r="J25" s="13"/>
      <c r="K25" s="13"/>
      <c r="L25" s="13"/>
      <c r="M25" s="13"/>
      <c r="N25" s="13"/>
      <c r="Q25" s="6" t="b">
        <f t="shared" si="4"/>
        <v>0</v>
      </c>
      <c r="R25" s="6" t="b">
        <f t="shared" si="4"/>
        <v>0</v>
      </c>
      <c r="S25" s="6" t="b">
        <f t="shared" si="4"/>
        <v>0</v>
      </c>
      <c r="T25" s="6" t="b">
        <f t="shared" si="4"/>
        <v>0</v>
      </c>
      <c r="U25" s="6" t="b">
        <f t="shared" si="1"/>
        <v>1</v>
      </c>
      <c r="V25" s="6" t="b">
        <f t="shared" si="5"/>
        <v>1</v>
      </c>
      <c r="W25" s="6" t="b">
        <f t="shared" si="5"/>
        <v>1</v>
      </c>
      <c r="X25" s="6" t="b">
        <f t="shared" si="5"/>
        <v>1</v>
      </c>
      <c r="Y25" s="6" t="b">
        <f t="shared" si="5"/>
        <v>1</v>
      </c>
    </row>
    <row r="26" spans="2:25" ht="60" x14ac:dyDescent="0.25">
      <c r="B26" s="13">
        <f>TBHPInd!A20</f>
        <v>4.0999999999999996</v>
      </c>
      <c r="C26" s="18" t="str">
        <f>TBHPInd!B20</f>
        <v>Developed and applied effective strategies in the planning and management of developmentally sequenced teaching and learning processes  to meet curriculum requirements and varied teaching
contexts</v>
      </c>
      <c r="D26" s="13" t="str">
        <f>TBHPInd!D20</f>
        <v>COI</v>
      </c>
      <c r="E26" s="13">
        <f>TBHPInd!E20</f>
        <v>1</v>
      </c>
      <c r="F26" s="46"/>
      <c r="G26" s="81"/>
      <c r="H26" s="261" t="b">
        <v>0</v>
      </c>
      <c r="I26" s="6" t="b">
        <f t="shared" si="3"/>
        <v>1</v>
      </c>
      <c r="J26" s="13"/>
      <c r="K26" s="137"/>
      <c r="L26" s="137"/>
      <c r="M26" s="137"/>
      <c r="N26" s="137"/>
      <c r="Q26" s="6" t="b">
        <f t="shared" si="4"/>
        <v>0</v>
      </c>
      <c r="R26" s="6" t="b">
        <f t="shared" si="4"/>
        <v>0</v>
      </c>
      <c r="S26" s="6" t="b">
        <f t="shared" si="4"/>
        <v>0</v>
      </c>
      <c r="T26" s="6" t="b">
        <f t="shared" si="4"/>
        <v>0</v>
      </c>
      <c r="U26" s="6" t="b">
        <f t="shared" si="1"/>
        <v>1</v>
      </c>
      <c r="V26" s="6" t="b">
        <f t="shared" si="5"/>
        <v>1</v>
      </c>
      <c r="W26" s="6" t="b">
        <f t="shared" si="5"/>
        <v>1</v>
      </c>
      <c r="X26" s="6" t="b">
        <f t="shared" si="5"/>
        <v>1</v>
      </c>
      <c r="Y26" s="6" t="b">
        <f t="shared" si="5"/>
        <v>1</v>
      </c>
    </row>
    <row r="27" spans="2:25" ht="50.1" customHeight="1" x14ac:dyDescent="0.25">
      <c r="B27" s="13">
        <f>TBHPInd!A21</f>
        <v>4.2</v>
      </c>
      <c r="C27" s="18" t="str">
        <f>TBHPInd!B21</f>
        <v>Modelled to colleagues the setting of achievable and challenging learning outcomes that are aligned with learning competencies to cultivate a culture of excellence for all learners</v>
      </c>
      <c r="D27" s="13" t="str">
        <f>TBHPInd!D21</f>
        <v>NCOI</v>
      </c>
      <c r="E27" s="13">
        <f>TBHPInd!E21</f>
        <v>2</v>
      </c>
      <c r="F27" s="46"/>
      <c r="G27" s="81"/>
      <c r="H27" s="261" t="b">
        <v>0</v>
      </c>
      <c r="I27" s="6" t="b">
        <f t="shared" si="3"/>
        <v>1</v>
      </c>
      <c r="J27" s="13"/>
      <c r="K27" s="137"/>
      <c r="L27" s="137"/>
      <c r="M27" s="137"/>
      <c r="N27" s="137"/>
      <c r="Q27" s="6" t="b">
        <f t="shared" si="4"/>
        <v>0</v>
      </c>
      <c r="R27" s="6" t="b">
        <f t="shared" si="4"/>
        <v>0</v>
      </c>
      <c r="S27" s="6" t="b">
        <f t="shared" si="4"/>
        <v>0</v>
      </c>
      <c r="T27" s="6" t="b">
        <f t="shared" si="4"/>
        <v>0</v>
      </c>
      <c r="U27" s="6" t="b">
        <f t="shared" si="1"/>
        <v>1</v>
      </c>
      <c r="V27" s="6" t="b">
        <f t="shared" si="5"/>
        <v>1</v>
      </c>
      <c r="W27" s="6" t="b">
        <f t="shared" si="5"/>
        <v>1</v>
      </c>
      <c r="X27" s="6" t="b">
        <f t="shared" si="5"/>
        <v>1</v>
      </c>
      <c r="Y27" s="6" t="b">
        <f t="shared" si="5"/>
        <v>1</v>
      </c>
    </row>
    <row r="28" spans="2:25" ht="50.1" customHeight="1" x14ac:dyDescent="0.25">
      <c r="B28" s="13">
        <f>TBHPInd!A22</f>
        <v>4.3</v>
      </c>
      <c r="C28" s="18" t="str">
        <f>TBHPInd!B22</f>
        <v>Worked collaboratively with colleagues to evaluate the design of learning programs that develop the knowledge and skills of learners at different ability levels</v>
      </c>
      <c r="D28" s="13" t="str">
        <f>TBHPInd!D22</f>
        <v>NCOI</v>
      </c>
      <c r="E28" s="13">
        <f>TBHPInd!E22</f>
        <v>3</v>
      </c>
      <c r="F28" s="46"/>
      <c r="G28" s="81"/>
      <c r="H28" s="261" t="b">
        <v>0</v>
      </c>
      <c r="I28" s="6" t="b">
        <f t="shared" si="3"/>
        <v>1</v>
      </c>
      <c r="J28" s="13"/>
      <c r="K28" s="137"/>
      <c r="L28" s="137"/>
      <c r="M28" s="137"/>
      <c r="N28" s="137"/>
      <c r="Q28" s="6" t="b">
        <f t="shared" si="4"/>
        <v>0</v>
      </c>
      <c r="R28" s="6" t="b">
        <f t="shared" si="4"/>
        <v>0</v>
      </c>
      <c r="S28" s="6" t="b">
        <f t="shared" si="4"/>
        <v>0</v>
      </c>
      <c r="T28" s="6" t="b">
        <f t="shared" si="4"/>
        <v>0</v>
      </c>
      <c r="U28" s="6" t="b">
        <f t="shared" si="1"/>
        <v>1</v>
      </c>
      <c r="V28" s="6" t="b">
        <f t="shared" si="5"/>
        <v>1</v>
      </c>
      <c r="W28" s="6" t="b">
        <f t="shared" si="5"/>
        <v>1</v>
      </c>
      <c r="X28" s="6" t="b">
        <f t="shared" si="5"/>
        <v>1</v>
      </c>
      <c r="Y28" s="6" t="b">
        <f t="shared" si="5"/>
        <v>1</v>
      </c>
    </row>
    <row r="29" spans="2:25" ht="50.1" customHeight="1" x14ac:dyDescent="0.25">
      <c r="B29" s="13">
        <f>TBHPInd!A23</f>
        <v>4.4000000000000004</v>
      </c>
      <c r="C29" s="18" t="str">
        <f>TBHPInd!B23</f>
        <v>Reviewed with colleagues, teacher and learner feedback to plan, facilitate and enrich teaching practice</v>
      </c>
      <c r="D29" s="13" t="str">
        <f>TBHPInd!D23</f>
        <v>NCOI</v>
      </c>
      <c r="E29" s="13">
        <f>TBHPInd!E23</f>
        <v>1</v>
      </c>
      <c r="F29" s="46"/>
      <c r="G29" s="81"/>
      <c r="H29" s="261" t="b">
        <v>0</v>
      </c>
      <c r="I29" s="6" t="b">
        <f t="shared" si="3"/>
        <v>1</v>
      </c>
      <c r="J29" s="13"/>
      <c r="K29" s="137"/>
      <c r="L29" s="137"/>
      <c r="M29" s="137"/>
      <c r="N29" s="137"/>
      <c r="Q29" s="6" t="b">
        <f t="shared" si="4"/>
        <v>0</v>
      </c>
      <c r="R29" s="6" t="b">
        <f t="shared" si="4"/>
        <v>0</v>
      </c>
      <c r="S29" s="6" t="b">
        <f t="shared" si="4"/>
        <v>0</v>
      </c>
      <c r="T29" s="6" t="b">
        <f t="shared" si="4"/>
        <v>0</v>
      </c>
      <c r="U29" s="6" t="b">
        <f t="shared" si="1"/>
        <v>1</v>
      </c>
      <c r="V29" s="6" t="b">
        <f t="shared" si="5"/>
        <v>1</v>
      </c>
      <c r="W29" s="6" t="b">
        <f t="shared" si="5"/>
        <v>1</v>
      </c>
      <c r="X29" s="6" t="b">
        <f t="shared" si="5"/>
        <v>1</v>
      </c>
      <c r="Y29" s="6" t="b">
        <f t="shared" si="5"/>
        <v>1</v>
      </c>
    </row>
    <row r="30" spans="2:25" ht="50.1" customHeight="1" x14ac:dyDescent="0.25">
      <c r="B30" s="13">
        <f>TBHPInd!A24</f>
        <v>4.5</v>
      </c>
      <c r="C30" s="18" t="str">
        <f>TBHPInd!B24</f>
        <v>Advised and guided colleagues  in the selection, organization, development and use of appropriate teaching and learning resources, including ICT, to address specific learning goals</v>
      </c>
      <c r="D30" s="13" t="str">
        <f>TBHPInd!D24</f>
        <v>COI</v>
      </c>
      <c r="E30" s="13">
        <f>TBHPInd!E24</f>
        <v>2</v>
      </c>
      <c r="F30" s="46"/>
      <c r="G30" s="81"/>
      <c r="H30" s="261" t="b">
        <v>0</v>
      </c>
      <c r="I30" s="6" t="b">
        <f t="shared" si="3"/>
        <v>1</v>
      </c>
      <c r="J30" s="13"/>
      <c r="K30" s="137"/>
      <c r="L30" s="137"/>
      <c r="M30" s="137"/>
      <c r="N30" s="137"/>
      <c r="Q30" s="6" t="b">
        <f t="shared" si="4"/>
        <v>0</v>
      </c>
      <c r="R30" s="6" t="b">
        <f t="shared" si="4"/>
        <v>0</v>
      </c>
      <c r="S30" s="6" t="b">
        <f t="shared" si="4"/>
        <v>0</v>
      </c>
      <c r="T30" s="6" t="b">
        <f t="shared" si="4"/>
        <v>0</v>
      </c>
      <c r="U30" s="6" t="b">
        <f t="shared" si="1"/>
        <v>1</v>
      </c>
      <c r="V30" s="6" t="b">
        <f t="shared" si="5"/>
        <v>1</v>
      </c>
      <c r="W30" s="6" t="b">
        <f t="shared" si="5"/>
        <v>1</v>
      </c>
      <c r="X30" s="6" t="b">
        <f t="shared" si="5"/>
        <v>1</v>
      </c>
      <c r="Y30" s="6" t="b">
        <f t="shared" si="5"/>
        <v>1</v>
      </c>
    </row>
    <row r="31" spans="2:25" s="7" customFormat="1" x14ac:dyDescent="0.25">
      <c r="B31" s="347" t="s">
        <v>899</v>
      </c>
      <c r="C31" s="347"/>
      <c r="D31" s="347"/>
      <c r="E31" s="347"/>
      <c r="F31" s="348"/>
      <c r="G31" s="203"/>
      <c r="H31" s="6"/>
      <c r="I31" s="6" t="b">
        <f t="shared" si="3"/>
        <v>1</v>
      </c>
      <c r="J31" s="13"/>
      <c r="K31" s="13"/>
      <c r="L31" s="13"/>
      <c r="M31" s="13"/>
      <c r="N31" s="13"/>
      <c r="Q31" s="6" t="b">
        <f t="shared" si="4"/>
        <v>0</v>
      </c>
      <c r="R31" s="6" t="b">
        <f t="shared" si="4"/>
        <v>0</v>
      </c>
      <c r="S31" s="6" t="b">
        <f t="shared" si="4"/>
        <v>0</v>
      </c>
      <c r="T31" s="6" t="b">
        <f t="shared" si="4"/>
        <v>0</v>
      </c>
      <c r="U31" s="6" t="b">
        <f t="shared" si="1"/>
        <v>1</v>
      </c>
      <c r="V31" s="6" t="b">
        <f t="shared" si="5"/>
        <v>1</v>
      </c>
      <c r="W31" s="6" t="b">
        <f t="shared" si="5"/>
        <v>1</v>
      </c>
      <c r="X31" s="6" t="b">
        <f t="shared" si="5"/>
        <v>1</v>
      </c>
      <c r="Y31" s="6" t="b">
        <f t="shared" si="5"/>
        <v>1</v>
      </c>
    </row>
    <row r="32" spans="2:25" ht="50.1" customHeight="1" x14ac:dyDescent="0.25">
      <c r="B32" s="13">
        <f>TBHPInd!A25</f>
        <v>5.0999999999999996</v>
      </c>
      <c r="C32" s="18" t="str">
        <f>TBHPInd!B25</f>
        <v>Worked collaboratively with colleagues to review the design, selection, organization and use of a range of effective diagnostic, formative and summative assessment strategies consistent with curriculum requirements</v>
      </c>
      <c r="D32" s="13" t="str">
        <f>TBHPInd!D25</f>
        <v>NCOI</v>
      </c>
      <c r="E32" s="13">
        <f>TBHPInd!E25</f>
        <v>1</v>
      </c>
      <c r="F32" s="46"/>
      <c r="G32" s="81"/>
      <c r="H32" s="261" t="b">
        <v>0</v>
      </c>
      <c r="I32" s="6" t="b">
        <f t="shared" si="3"/>
        <v>1</v>
      </c>
      <c r="J32" s="13"/>
      <c r="K32" s="137"/>
      <c r="L32" s="137"/>
      <c r="M32" s="137"/>
      <c r="N32" s="137"/>
      <c r="Q32" s="6" t="b">
        <f t="shared" si="4"/>
        <v>0</v>
      </c>
      <c r="R32" s="6" t="b">
        <f t="shared" si="4"/>
        <v>0</v>
      </c>
      <c r="S32" s="6" t="b">
        <f t="shared" si="4"/>
        <v>0</v>
      </c>
      <c r="T32" s="6" t="b">
        <f t="shared" si="4"/>
        <v>0</v>
      </c>
      <c r="U32" s="6" t="b">
        <f t="shared" si="1"/>
        <v>1</v>
      </c>
      <c r="V32" s="6" t="b">
        <f t="shared" si="5"/>
        <v>1</v>
      </c>
      <c r="W32" s="6" t="b">
        <f t="shared" si="5"/>
        <v>1</v>
      </c>
      <c r="X32" s="6" t="b">
        <f t="shared" si="5"/>
        <v>1</v>
      </c>
      <c r="Y32" s="6" t="b">
        <f t="shared" si="5"/>
        <v>1</v>
      </c>
    </row>
    <row r="33" spans="2:25" ht="50.1" customHeight="1" x14ac:dyDescent="0.25">
      <c r="B33" s="13">
        <f>TBHPInd!A26</f>
        <v>5.2</v>
      </c>
      <c r="C33" s="18" t="str">
        <f>TBHPInd!B26</f>
        <v>Interpreted collaboratively monitoring and evaluation strategies of attainment data to support learner progress and achievement</v>
      </c>
      <c r="D33" s="13" t="str">
        <f>TBHPInd!D26</f>
        <v>NCOI</v>
      </c>
      <c r="E33" s="13">
        <f>TBHPInd!E26</f>
        <v>1</v>
      </c>
      <c r="F33" s="46"/>
      <c r="G33" s="81"/>
      <c r="H33" s="261" t="b">
        <v>0</v>
      </c>
      <c r="I33" s="6" t="b">
        <f t="shared" si="3"/>
        <v>1</v>
      </c>
      <c r="J33" s="13"/>
      <c r="K33" s="137"/>
      <c r="L33" s="137"/>
      <c r="M33" s="137"/>
      <c r="N33" s="137"/>
      <c r="Q33" s="6" t="b">
        <f t="shared" si="4"/>
        <v>0</v>
      </c>
      <c r="R33" s="6" t="b">
        <f t="shared" si="4"/>
        <v>0</v>
      </c>
      <c r="S33" s="6" t="b">
        <f t="shared" si="4"/>
        <v>0</v>
      </c>
      <c r="T33" s="6" t="b">
        <f t="shared" si="4"/>
        <v>0</v>
      </c>
      <c r="U33" s="6" t="b">
        <f t="shared" si="1"/>
        <v>1</v>
      </c>
      <c r="V33" s="6" t="b">
        <f t="shared" si="5"/>
        <v>1</v>
      </c>
      <c r="W33" s="6" t="b">
        <f t="shared" si="5"/>
        <v>1</v>
      </c>
      <c r="X33" s="6" t="b">
        <f t="shared" si="5"/>
        <v>1</v>
      </c>
      <c r="Y33" s="6" t="b">
        <f t="shared" si="5"/>
        <v>1</v>
      </c>
    </row>
    <row r="34" spans="2:25" ht="50.1" customHeight="1" x14ac:dyDescent="0.25">
      <c r="B34" s="13">
        <f>TBHPInd!A27</f>
        <v>5.3</v>
      </c>
      <c r="C34" s="18" t="str">
        <f>TBHPInd!B27</f>
        <v>Used effective strategies for providing timely, accurate and constructive feedback to encourage learners to reflect on and improve their own learning</v>
      </c>
      <c r="D34" s="13" t="str">
        <f>TBHPInd!D27</f>
        <v>NCOI</v>
      </c>
      <c r="E34" s="13">
        <f>TBHPInd!E27</f>
        <v>2</v>
      </c>
      <c r="F34" s="46"/>
      <c r="G34" s="81"/>
      <c r="H34" s="261" t="b">
        <v>0</v>
      </c>
      <c r="I34" s="6" t="b">
        <f t="shared" si="3"/>
        <v>1</v>
      </c>
      <c r="J34" s="13"/>
      <c r="K34" s="137"/>
      <c r="L34" s="137"/>
      <c r="M34" s="137"/>
      <c r="N34" s="137"/>
      <c r="Q34" s="6" t="b">
        <f t="shared" si="4"/>
        <v>0</v>
      </c>
      <c r="R34" s="6" t="b">
        <f t="shared" si="4"/>
        <v>0</v>
      </c>
      <c r="S34" s="6" t="b">
        <f t="shared" si="4"/>
        <v>0</v>
      </c>
      <c r="T34" s="6" t="b">
        <f t="shared" si="4"/>
        <v>0</v>
      </c>
      <c r="U34" s="6" t="b">
        <f t="shared" si="1"/>
        <v>1</v>
      </c>
      <c r="V34" s="6" t="b">
        <f t="shared" si="5"/>
        <v>1</v>
      </c>
      <c r="W34" s="6" t="b">
        <f t="shared" si="5"/>
        <v>1</v>
      </c>
      <c r="X34" s="6" t="b">
        <f t="shared" si="5"/>
        <v>1</v>
      </c>
      <c r="Y34" s="6" t="b">
        <f t="shared" si="5"/>
        <v>1</v>
      </c>
    </row>
    <row r="35" spans="2:25" ht="50.1" customHeight="1" x14ac:dyDescent="0.25">
      <c r="B35" s="13">
        <f>TBHPInd!A28</f>
        <v>5.4</v>
      </c>
      <c r="C35" s="18" t="str">
        <f>TBHPInd!B28</f>
        <v>Applied skills in the effective communication of learner needs, progress and achievement to key stakeholders, including parents/guardians</v>
      </c>
      <c r="D35" s="13" t="str">
        <f>TBHPInd!D28</f>
        <v>NCOI</v>
      </c>
      <c r="E35" s="13">
        <f>TBHPInd!E28</f>
        <v>1</v>
      </c>
      <c r="F35" s="46"/>
      <c r="G35" s="81"/>
      <c r="H35" s="261" t="b">
        <v>0</v>
      </c>
      <c r="I35" s="6" t="b">
        <f t="shared" si="3"/>
        <v>1</v>
      </c>
      <c r="J35" s="13"/>
      <c r="K35" s="137"/>
      <c r="L35" s="137"/>
      <c r="M35" s="137"/>
      <c r="N35" s="137"/>
      <c r="Q35" s="6" t="b">
        <f t="shared" si="4"/>
        <v>0</v>
      </c>
      <c r="R35" s="6" t="b">
        <f t="shared" si="4"/>
        <v>0</v>
      </c>
      <c r="S35" s="6" t="b">
        <f t="shared" si="4"/>
        <v>0</v>
      </c>
      <c r="T35" s="6" t="b">
        <f t="shared" si="4"/>
        <v>0</v>
      </c>
      <c r="U35" s="6" t="b">
        <f t="shared" si="1"/>
        <v>1</v>
      </c>
      <c r="V35" s="6" t="b">
        <f t="shared" si="5"/>
        <v>1</v>
      </c>
      <c r="W35" s="6" t="b">
        <f t="shared" si="5"/>
        <v>1</v>
      </c>
      <c r="X35" s="6" t="b">
        <f t="shared" si="5"/>
        <v>1</v>
      </c>
      <c r="Y35" s="6" t="b">
        <f t="shared" si="5"/>
        <v>1</v>
      </c>
    </row>
    <row r="36" spans="2:25" ht="50.1" customHeight="1" x14ac:dyDescent="0.25">
      <c r="B36" s="13">
        <f>TBHPInd!A29</f>
        <v>5.5</v>
      </c>
      <c r="C36" s="18" t="str">
        <f>TBHPInd!B29</f>
        <v>Worked collaboratively with colleagues to analyze and utilize assessment data to modify practices and programs to further support learner progress and achievement</v>
      </c>
      <c r="D36" s="13" t="str">
        <f>TBHPInd!D29</f>
        <v>NCOI</v>
      </c>
      <c r="E36" s="13">
        <f>TBHPInd!E29</f>
        <v>3</v>
      </c>
      <c r="F36" s="46"/>
      <c r="G36" s="81"/>
      <c r="H36" s="261" t="b">
        <v>0</v>
      </c>
      <c r="I36" s="6" t="b">
        <f t="shared" si="3"/>
        <v>1</v>
      </c>
      <c r="J36" s="13"/>
      <c r="K36" s="137"/>
      <c r="L36" s="137"/>
      <c r="M36" s="137"/>
      <c r="N36" s="137"/>
      <c r="Q36" s="6" t="b">
        <f t="shared" si="4"/>
        <v>0</v>
      </c>
      <c r="R36" s="6" t="b">
        <f t="shared" si="4"/>
        <v>0</v>
      </c>
      <c r="S36" s="6" t="b">
        <f t="shared" si="4"/>
        <v>0</v>
      </c>
      <c r="T36" s="6" t="b">
        <f t="shared" si="4"/>
        <v>0</v>
      </c>
      <c r="U36" s="6" t="b">
        <f t="shared" si="1"/>
        <v>1</v>
      </c>
      <c r="V36" s="6" t="b">
        <f t="shared" si="5"/>
        <v>1</v>
      </c>
      <c r="W36" s="6" t="b">
        <f t="shared" si="5"/>
        <v>1</v>
      </c>
      <c r="X36" s="6" t="b">
        <f t="shared" si="5"/>
        <v>1</v>
      </c>
      <c r="Y36" s="6" t="b">
        <f t="shared" si="5"/>
        <v>1</v>
      </c>
    </row>
    <row r="37" spans="2:25" s="7" customFormat="1" x14ac:dyDescent="0.25">
      <c r="B37" s="347" t="s">
        <v>900</v>
      </c>
      <c r="C37" s="347"/>
      <c r="D37" s="347"/>
      <c r="E37" s="347"/>
      <c r="F37" s="348"/>
      <c r="G37" s="203"/>
      <c r="H37" s="6"/>
      <c r="I37" s="6" t="b">
        <f t="shared" si="3"/>
        <v>1</v>
      </c>
      <c r="J37" s="13"/>
      <c r="K37" s="13"/>
      <c r="L37" s="13"/>
      <c r="M37" s="13"/>
      <c r="N37" s="13"/>
      <c r="Q37" s="6" t="b">
        <f t="shared" si="4"/>
        <v>0</v>
      </c>
      <c r="R37" s="6" t="b">
        <f t="shared" si="4"/>
        <v>0</v>
      </c>
      <c r="S37" s="6" t="b">
        <f t="shared" si="4"/>
        <v>0</v>
      </c>
      <c r="T37" s="6" t="b">
        <f t="shared" si="4"/>
        <v>0</v>
      </c>
      <c r="U37" s="6" t="b">
        <f t="shared" si="1"/>
        <v>1</v>
      </c>
      <c r="V37" s="6" t="b">
        <f t="shared" si="5"/>
        <v>1</v>
      </c>
      <c r="W37" s="6" t="b">
        <f t="shared" si="5"/>
        <v>1</v>
      </c>
      <c r="X37" s="6" t="b">
        <f t="shared" si="5"/>
        <v>1</v>
      </c>
      <c r="Y37" s="6" t="b">
        <f t="shared" si="5"/>
        <v>1</v>
      </c>
    </row>
    <row r="38" spans="2:25" ht="50.1" customHeight="1" x14ac:dyDescent="0.25">
      <c r="B38" s="13">
        <f>TBHPInd!A30</f>
        <v>6.1</v>
      </c>
      <c r="C38" s="19" t="str">
        <f>TBHPInd!B30</f>
        <v>Reflected on and evaluated learning environments that are responsive to community contexts</v>
      </c>
      <c r="D38" s="13" t="str">
        <f>TBHPInd!D30</f>
        <v>NCOI</v>
      </c>
      <c r="E38" s="13">
        <f>TBHPInd!E30</f>
        <v>3</v>
      </c>
      <c r="F38" s="46"/>
      <c r="G38" s="81"/>
      <c r="H38" s="261" t="b">
        <v>0</v>
      </c>
      <c r="I38" s="6" t="b">
        <f t="shared" si="3"/>
        <v>1</v>
      </c>
      <c r="J38" s="13"/>
      <c r="K38" s="137"/>
      <c r="L38" s="137"/>
      <c r="M38" s="137"/>
      <c r="N38" s="137"/>
      <c r="Q38" s="6" t="b">
        <f t="shared" si="4"/>
        <v>0</v>
      </c>
      <c r="R38" s="6" t="b">
        <f t="shared" si="4"/>
        <v>0</v>
      </c>
      <c r="S38" s="6" t="b">
        <f t="shared" si="4"/>
        <v>0</v>
      </c>
      <c r="T38" s="6" t="b">
        <f t="shared" si="4"/>
        <v>0</v>
      </c>
      <c r="U38" s="6" t="b">
        <f t="shared" si="1"/>
        <v>1</v>
      </c>
      <c r="V38" s="6" t="b">
        <f t="shared" si="5"/>
        <v>1</v>
      </c>
      <c r="W38" s="6" t="b">
        <f t="shared" si="5"/>
        <v>1</v>
      </c>
      <c r="X38" s="6" t="b">
        <f t="shared" si="5"/>
        <v>1</v>
      </c>
      <c r="Y38" s="6" t="b">
        <f t="shared" si="5"/>
        <v>1</v>
      </c>
    </row>
    <row r="39" spans="2:25" ht="50.1" customHeight="1" x14ac:dyDescent="0.25">
      <c r="B39" s="13">
        <f>TBHPInd!A31</f>
        <v>6.2</v>
      </c>
      <c r="C39" s="19" t="str">
        <f>TBHPInd!B31</f>
        <v>Guided colleagues to strengthen relationships with parents/ guardians and the wider school community to maximize their involvement in the educative process</v>
      </c>
      <c r="D39" s="13" t="str">
        <f>TBHPInd!D31</f>
        <v>NCOI</v>
      </c>
      <c r="E39" s="13">
        <f>TBHPInd!E31</f>
        <v>2</v>
      </c>
      <c r="F39" s="46"/>
      <c r="G39" s="81"/>
      <c r="H39" s="261" t="b">
        <v>0</v>
      </c>
      <c r="I39" s="6" t="b">
        <f t="shared" si="3"/>
        <v>1</v>
      </c>
      <c r="J39" s="13"/>
      <c r="K39" s="137"/>
      <c r="L39" s="137"/>
      <c r="M39" s="137"/>
      <c r="N39" s="137"/>
      <c r="Q39" s="6" t="b">
        <f t="shared" si="4"/>
        <v>0</v>
      </c>
      <c r="R39" s="6" t="b">
        <f t="shared" si="4"/>
        <v>0</v>
      </c>
      <c r="S39" s="6" t="b">
        <f t="shared" si="4"/>
        <v>0</v>
      </c>
      <c r="T39" s="6" t="b">
        <f t="shared" si="4"/>
        <v>0</v>
      </c>
      <c r="U39" s="6" t="b">
        <f t="shared" si="1"/>
        <v>1</v>
      </c>
      <c r="V39" s="6" t="b">
        <f t="shared" si="5"/>
        <v>1</v>
      </c>
      <c r="W39" s="6" t="b">
        <f t="shared" si="5"/>
        <v>1</v>
      </c>
      <c r="X39" s="6" t="b">
        <f t="shared" si="5"/>
        <v>1</v>
      </c>
      <c r="Y39" s="6" t="b">
        <f t="shared" si="5"/>
        <v>1</v>
      </c>
    </row>
    <row r="40" spans="2:25" ht="50.1" customHeight="1" x14ac:dyDescent="0.25">
      <c r="B40" s="13">
        <f>TBHPInd!A32</f>
        <v>6.3</v>
      </c>
      <c r="C40" s="19" t="str">
        <f>TBHPInd!B32</f>
        <v>Discussed with colleagues teaching and learning practices that apply existing codes, laws and regulations that apply to the teaching profession, and the responsibilities specified in the Code of Ethics for Professional Teachers</v>
      </c>
      <c r="D40" s="13" t="str">
        <f>TBHPInd!D32</f>
        <v>NCOI</v>
      </c>
      <c r="E40" s="13">
        <f>TBHPInd!E32</f>
        <v>3</v>
      </c>
      <c r="F40" s="46"/>
      <c r="G40" s="81"/>
      <c r="H40" s="261" t="b">
        <v>0</v>
      </c>
      <c r="I40" s="6" t="b">
        <f t="shared" si="3"/>
        <v>1</v>
      </c>
      <c r="J40" s="13"/>
      <c r="K40" s="137"/>
      <c r="L40" s="137"/>
      <c r="M40" s="137"/>
      <c r="N40" s="137"/>
      <c r="Q40" s="6" t="b">
        <f t="shared" si="4"/>
        <v>0</v>
      </c>
      <c r="R40" s="6" t="b">
        <f t="shared" si="4"/>
        <v>0</v>
      </c>
      <c r="S40" s="6" t="b">
        <f t="shared" si="4"/>
        <v>0</v>
      </c>
      <c r="T40" s="6" t="b">
        <f t="shared" si="4"/>
        <v>0</v>
      </c>
      <c r="U40" s="6" t="b">
        <f t="shared" si="1"/>
        <v>1</v>
      </c>
      <c r="V40" s="6" t="b">
        <f t="shared" si="5"/>
        <v>1</v>
      </c>
      <c r="W40" s="6" t="b">
        <f t="shared" si="5"/>
        <v>1</v>
      </c>
      <c r="X40" s="6" t="b">
        <f t="shared" si="5"/>
        <v>1</v>
      </c>
      <c r="Y40" s="6" t="b">
        <f t="shared" si="5"/>
        <v>1</v>
      </c>
    </row>
    <row r="41" spans="2:25" ht="50.1" customHeight="1" x14ac:dyDescent="0.25">
      <c r="B41" s="13">
        <f>TBHPInd!A33</f>
        <v>6.4</v>
      </c>
      <c r="C41" s="19" t="str">
        <f>TBHPInd!B33</f>
        <v>Exhibited commitment to and supported teachers in the implementation of school policies and procedures to foster harmonious relationships with learners, parents and other stakeholders</v>
      </c>
      <c r="D41" s="13" t="str">
        <f>TBHPInd!D33</f>
        <v>NCOI</v>
      </c>
      <c r="E41" s="13">
        <f>TBHPInd!E33</f>
        <v>3</v>
      </c>
      <c r="F41" s="46"/>
      <c r="G41" s="81"/>
      <c r="H41" s="261" t="b">
        <v>0</v>
      </c>
      <c r="I41" s="6" t="b">
        <f t="shared" si="3"/>
        <v>1</v>
      </c>
      <c r="J41" s="13"/>
      <c r="K41" s="137"/>
      <c r="L41" s="137"/>
      <c r="M41" s="137"/>
      <c r="N41" s="137"/>
      <c r="Q41" s="6" t="b">
        <f t="shared" si="4"/>
        <v>0</v>
      </c>
      <c r="R41" s="6" t="b">
        <f t="shared" si="4"/>
        <v>0</v>
      </c>
      <c r="S41" s="6" t="b">
        <f t="shared" si="4"/>
        <v>0</v>
      </c>
      <c r="T41" s="6" t="b">
        <f t="shared" si="4"/>
        <v>0</v>
      </c>
      <c r="U41" s="6" t="b">
        <f t="shared" si="1"/>
        <v>1</v>
      </c>
      <c r="V41" s="6" t="b">
        <f t="shared" si="5"/>
        <v>1</v>
      </c>
      <c r="W41" s="6" t="b">
        <f t="shared" si="5"/>
        <v>1</v>
      </c>
      <c r="X41" s="6" t="b">
        <f t="shared" si="5"/>
        <v>1</v>
      </c>
      <c r="Y41" s="6" t="b">
        <f t="shared" si="5"/>
        <v>1</v>
      </c>
    </row>
    <row r="42" spans="2:25" s="7" customFormat="1" x14ac:dyDescent="0.25">
      <c r="B42" s="347" t="s">
        <v>901</v>
      </c>
      <c r="C42" s="347"/>
      <c r="D42" s="347"/>
      <c r="E42" s="347"/>
      <c r="F42" s="348"/>
      <c r="G42" s="203"/>
      <c r="H42" s="6"/>
      <c r="I42" s="6" t="b">
        <f t="shared" si="3"/>
        <v>1</v>
      </c>
      <c r="J42" s="13"/>
      <c r="K42" s="13"/>
      <c r="L42" s="13"/>
      <c r="M42" s="13"/>
      <c r="N42" s="13"/>
      <c r="Q42" s="6" t="b">
        <f t="shared" si="4"/>
        <v>0</v>
      </c>
      <c r="R42" s="6" t="b">
        <f t="shared" si="4"/>
        <v>0</v>
      </c>
      <c r="S42" s="6" t="b">
        <f t="shared" si="4"/>
        <v>0</v>
      </c>
      <c r="T42" s="6" t="b">
        <f t="shared" si="4"/>
        <v>0</v>
      </c>
      <c r="U42" s="6" t="b">
        <f t="shared" si="1"/>
        <v>1</v>
      </c>
      <c r="V42" s="6" t="b">
        <f t="shared" si="5"/>
        <v>1</v>
      </c>
      <c r="W42" s="6" t="b">
        <f t="shared" si="5"/>
        <v>1</v>
      </c>
      <c r="X42" s="6" t="b">
        <f t="shared" si="5"/>
        <v>1</v>
      </c>
      <c r="Y42" s="6" t="b">
        <f t="shared" si="5"/>
        <v>1</v>
      </c>
    </row>
    <row r="43" spans="2:25" ht="50.1" customHeight="1" x14ac:dyDescent="0.25">
      <c r="B43" s="13">
        <f>TBHPInd!A34</f>
        <v>7.1</v>
      </c>
      <c r="C43" s="19" t="str">
        <f>TBHPInd!B34</f>
        <v>Manifested a learner-centered teaching philosophy in various aspects of practice and support colleagues in enhancing their own learner-centered teaching philosophy</v>
      </c>
      <c r="D43" s="13" t="str">
        <f>TBHPInd!D34</f>
        <v>NCOI</v>
      </c>
      <c r="E43" s="13">
        <f>TBHPInd!E34</f>
        <v>3</v>
      </c>
      <c r="F43" s="46"/>
      <c r="G43" s="81"/>
      <c r="H43" s="261" t="b">
        <v>0</v>
      </c>
      <c r="I43" s="6" t="b">
        <f t="shared" si="3"/>
        <v>1</v>
      </c>
      <c r="J43" s="13"/>
      <c r="K43" s="137"/>
      <c r="L43" s="137"/>
      <c r="M43" s="137"/>
      <c r="N43" s="137"/>
      <c r="Q43" s="6" t="b">
        <f t="shared" si="4"/>
        <v>0</v>
      </c>
      <c r="R43" s="6" t="b">
        <f t="shared" si="4"/>
        <v>0</v>
      </c>
      <c r="S43" s="6" t="b">
        <f t="shared" si="4"/>
        <v>0</v>
      </c>
      <c r="T43" s="6" t="b">
        <f t="shared" si="4"/>
        <v>0</v>
      </c>
      <c r="U43" s="6" t="b">
        <f t="shared" si="1"/>
        <v>1</v>
      </c>
      <c r="V43" s="6" t="b">
        <f t="shared" si="5"/>
        <v>1</v>
      </c>
      <c r="W43" s="6" t="b">
        <f t="shared" si="5"/>
        <v>1</v>
      </c>
      <c r="X43" s="6" t="b">
        <f t="shared" si="5"/>
        <v>1</v>
      </c>
      <c r="Y43" s="6" t="b">
        <f t="shared" si="5"/>
        <v>1</v>
      </c>
    </row>
    <row r="44" spans="2:25" ht="50.1" customHeight="1" x14ac:dyDescent="0.25">
      <c r="B44" s="13">
        <f>TBHPInd!A35</f>
        <v>7.2</v>
      </c>
      <c r="C44" s="19" t="str">
        <f>TBHPInd!B35</f>
        <v>Identified and utilized personal professional strengths to uphold the dignity of teaching as a profession to help build a positive teaching and learning culture within the school</v>
      </c>
      <c r="D44" s="13" t="str">
        <f>TBHPInd!D35</f>
        <v>NCOI</v>
      </c>
      <c r="E44" s="13">
        <f>TBHPInd!E35</f>
        <v>3</v>
      </c>
      <c r="F44" s="46"/>
      <c r="G44" s="81"/>
      <c r="H44" s="261" t="b">
        <v>0</v>
      </c>
      <c r="I44" s="6" t="b">
        <f t="shared" si="3"/>
        <v>1</v>
      </c>
      <c r="J44" s="13"/>
      <c r="K44" s="137"/>
      <c r="L44" s="137"/>
      <c r="M44" s="137"/>
      <c r="N44" s="137"/>
      <c r="Q44" s="6" t="b">
        <f t="shared" si="4"/>
        <v>0</v>
      </c>
      <c r="R44" s="6" t="b">
        <f t="shared" si="4"/>
        <v>0</v>
      </c>
      <c r="S44" s="6" t="b">
        <f t="shared" si="4"/>
        <v>0</v>
      </c>
      <c r="T44" s="6" t="b">
        <f t="shared" si="4"/>
        <v>0</v>
      </c>
      <c r="U44" s="6" t="b">
        <f t="shared" si="1"/>
        <v>1</v>
      </c>
      <c r="V44" s="6" t="b">
        <f t="shared" si="5"/>
        <v>1</v>
      </c>
      <c r="W44" s="6" t="b">
        <f t="shared" si="5"/>
        <v>1</v>
      </c>
      <c r="X44" s="6" t="b">
        <f t="shared" si="5"/>
        <v>1</v>
      </c>
      <c r="Y44" s="6" t="b">
        <f t="shared" si="5"/>
        <v>1</v>
      </c>
    </row>
    <row r="45" spans="2:25" ht="50.1" customHeight="1" x14ac:dyDescent="0.25">
      <c r="B45" s="13">
        <f>TBHPInd!A36</f>
        <v>7.3</v>
      </c>
      <c r="C45" s="19" t="str">
        <f>TBHPInd!B36</f>
        <v>Contributed actively to professional networks within and between schools to improve knowledge and to enhance practice</v>
      </c>
      <c r="D45" s="13" t="str">
        <f>TBHPInd!D36</f>
        <v>NCOI</v>
      </c>
      <c r="E45" s="13">
        <f>TBHPInd!E36</f>
        <v>2</v>
      </c>
      <c r="F45" s="46"/>
      <c r="G45" s="81"/>
      <c r="H45" s="261" t="b">
        <v>0</v>
      </c>
      <c r="I45" s="6" t="b">
        <f t="shared" si="3"/>
        <v>1</v>
      </c>
      <c r="J45" s="13"/>
      <c r="K45" s="137"/>
      <c r="L45" s="137"/>
      <c r="M45" s="137"/>
      <c r="N45" s="137"/>
      <c r="Q45" s="6" t="b">
        <f t="shared" si="4"/>
        <v>0</v>
      </c>
      <c r="R45" s="6" t="b">
        <f t="shared" si="4"/>
        <v>0</v>
      </c>
      <c r="S45" s="6" t="b">
        <f t="shared" si="4"/>
        <v>0</v>
      </c>
      <c r="T45" s="6" t="b">
        <f t="shared" si="4"/>
        <v>0</v>
      </c>
      <c r="U45" s="6" t="b">
        <f t="shared" si="1"/>
        <v>1</v>
      </c>
      <c r="V45" s="6" t="b">
        <f t="shared" si="5"/>
        <v>1</v>
      </c>
      <c r="W45" s="6" t="b">
        <f t="shared" si="5"/>
        <v>1</v>
      </c>
      <c r="X45" s="6" t="b">
        <f t="shared" si="5"/>
        <v>1</v>
      </c>
      <c r="Y45" s="6" t="b">
        <f t="shared" si="5"/>
        <v>1</v>
      </c>
    </row>
    <row r="46" spans="2:25" ht="50.1" customHeight="1" x14ac:dyDescent="0.25">
      <c r="B46" s="13">
        <f>TBHPInd!A37</f>
        <v>7.4</v>
      </c>
      <c r="C46" s="19" t="str">
        <f>TBHPInd!B37</f>
        <v>Initiated professional reflections and promote learning opportunities with colleagues to improve practice</v>
      </c>
      <c r="D46" s="13" t="str">
        <f>TBHPInd!D37</f>
        <v>NCOI</v>
      </c>
      <c r="E46" s="13">
        <f>TBHPInd!E37</f>
        <v>2</v>
      </c>
      <c r="F46" s="46"/>
      <c r="G46" s="81"/>
      <c r="H46" s="261" t="b">
        <v>0</v>
      </c>
      <c r="I46" s="6" t="b">
        <f t="shared" si="3"/>
        <v>1</v>
      </c>
      <c r="J46" s="13"/>
      <c r="K46" s="137"/>
      <c r="L46" s="137"/>
      <c r="M46" s="137"/>
      <c r="N46" s="137"/>
      <c r="Q46" s="6" t="b">
        <f t="shared" si="4"/>
        <v>0</v>
      </c>
      <c r="R46" s="6" t="b">
        <f t="shared" si="4"/>
        <v>0</v>
      </c>
      <c r="S46" s="6" t="b">
        <f t="shared" si="4"/>
        <v>0</v>
      </c>
      <c r="T46" s="6" t="b">
        <f t="shared" si="4"/>
        <v>0</v>
      </c>
      <c r="U46" s="6" t="b">
        <f t="shared" si="1"/>
        <v>1</v>
      </c>
      <c r="V46" s="6" t="b">
        <f t="shared" si="5"/>
        <v>1</v>
      </c>
      <c r="W46" s="6" t="b">
        <f t="shared" si="5"/>
        <v>1</v>
      </c>
      <c r="X46" s="6" t="b">
        <f t="shared" si="5"/>
        <v>1</v>
      </c>
      <c r="Y46" s="6" t="b">
        <f t="shared" si="5"/>
        <v>1</v>
      </c>
    </row>
    <row r="47" spans="2:25" ht="50.1" customHeight="1" x14ac:dyDescent="0.25">
      <c r="B47" s="13">
        <f>TBHPInd!A38</f>
        <v>7.5</v>
      </c>
      <c r="C47" s="19" t="str">
        <f>TBHPInd!B38</f>
        <v>Reflected on the Philippine Professional Standards for Teachers to plan personal professional development goals and assist colleagues in planning and achieving their own goals</v>
      </c>
      <c r="D47" s="13" t="str">
        <f>TBHPInd!D38</f>
        <v>NCOI</v>
      </c>
      <c r="E47" s="13">
        <f>TBHPInd!E38</f>
        <v>3</v>
      </c>
      <c r="F47" s="46"/>
      <c r="G47" s="81"/>
      <c r="H47" s="261" t="b">
        <v>0</v>
      </c>
      <c r="I47" s="6" t="b">
        <f t="shared" si="3"/>
        <v>1</v>
      </c>
      <c r="J47" s="13"/>
      <c r="K47" s="137"/>
      <c r="L47" s="137"/>
      <c r="M47" s="137"/>
      <c r="N47" s="137"/>
      <c r="Q47" s="6" t="b">
        <f t="shared" si="4"/>
        <v>0</v>
      </c>
      <c r="R47" s="6" t="b">
        <f t="shared" si="4"/>
        <v>0</v>
      </c>
      <c r="S47" s="6" t="b">
        <f t="shared" si="4"/>
        <v>0</v>
      </c>
      <c r="T47" s="6" t="b">
        <f t="shared" si="4"/>
        <v>0</v>
      </c>
      <c r="U47" s="6" t="b">
        <f t="shared" si="1"/>
        <v>1</v>
      </c>
      <c r="V47" s="6" t="b">
        <f t="shared" si="5"/>
        <v>1</v>
      </c>
      <c r="W47" s="6" t="b">
        <f t="shared" si="5"/>
        <v>1</v>
      </c>
      <c r="X47" s="6" t="b">
        <f t="shared" si="5"/>
        <v>1</v>
      </c>
      <c r="Y47" s="6" t="b">
        <f t="shared" si="5"/>
        <v>1</v>
      </c>
    </row>
    <row r="48" spans="2:25" s="7" customFormat="1" x14ac:dyDescent="0.25">
      <c r="B48" s="347" t="s">
        <v>902</v>
      </c>
      <c r="C48" s="349"/>
      <c r="D48" s="350"/>
      <c r="E48" s="350"/>
      <c r="F48" s="349"/>
      <c r="G48" s="203"/>
      <c r="H48" s="6"/>
      <c r="I48" s="6" t="b">
        <f t="shared" si="3"/>
        <v>1</v>
      </c>
      <c r="J48" s="13"/>
      <c r="K48" s="13"/>
      <c r="L48" s="13"/>
      <c r="M48" s="13"/>
      <c r="N48" s="13"/>
      <c r="Q48" s="6" t="b">
        <f t="shared" si="4"/>
        <v>0</v>
      </c>
      <c r="R48" s="6" t="b">
        <f t="shared" si="4"/>
        <v>0</v>
      </c>
      <c r="S48" s="6" t="b">
        <f t="shared" si="4"/>
        <v>0</v>
      </c>
      <c r="T48" s="6" t="b">
        <f t="shared" si="4"/>
        <v>0</v>
      </c>
      <c r="U48" s="6" t="b">
        <f t="shared" si="1"/>
        <v>1</v>
      </c>
      <c r="V48" s="6" t="b">
        <f t="shared" si="5"/>
        <v>1</v>
      </c>
      <c r="W48" s="6" t="b">
        <f t="shared" si="5"/>
        <v>1</v>
      </c>
      <c r="X48" s="6" t="b">
        <f t="shared" si="5"/>
        <v>1</v>
      </c>
      <c r="Y48" s="6" t="b">
        <f t="shared" si="5"/>
        <v>1</v>
      </c>
    </row>
    <row r="49" spans="2:25" ht="50.1" customHeight="1" x14ac:dyDescent="0.25">
      <c r="B49" s="13">
        <f>TBHPInd!A39</f>
        <v>15</v>
      </c>
      <c r="C49" s="18" t="str">
        <f>TBHPInd!B39</f>
        <v>Performed various related works/activities that contribute to the teaching-learning process</v>
      </c>
      <c r="D49" s="13" t="str">
        <f>TBHPInd!D39</f>
        <v>NCOI</v>
      </c>
      <c r="E49" s="13">
        <f>TBHPInd!E39</f>
        <v>3</v>
      </c>
      <c r="F49" s="46"/>
      <c r="G49" s="81"/>
      <c r="H49" s="6" t="b">
        <v>1</v>
      </c>
      <c r="I49" s="6" t="b">
        <f t="shared" si="3"/>
        <v>0</v>
      </c>
      <c r="J49" s="13"/>
      <c r="K49" s="137"/>
      <c r="L49" s="137"/>
      <c r="M49" s="137"/>
      <c r="N49" s="137"/>
      <c r="Q49" s="6" t="b">
        <f t="shared" si="4"/>
        <v>0</v>
      </c>
      <c r="R49" s="6" t="b">
        <f t="shared" si="4"/>
        <v>0</v>
      </c>
      <c r="S49" s="6" t="b">
        <f t="shared" si="4"/>
        <v>0</v>
      </c>
      <c r="T49" s="6" t="b">
        <f t="shared" si="4"/>
        <v>0</v>
      </c>
      <c r="U49" s="6" t="b">
        <f t="shared" si="1"/>
        <v>1</v>
      </c>
      <c r="V49" s="6" t="b">
        <f t="shared" si="5"/>
        <v>1</v>
      </c>
      <c r="W49" s="6" t="b">
        <f t="shared" si="5"/>
        <v>1</v>
      </c>
      <c r="X49" s="6" t="b">
        <f t="shared" si="5"/>
        <v>1</v>
      </c>
      <c r="Y49" s="6" t="b">
        <f t="shared" si="5"/>
        <v>1</v>
      </c>
    </row>
    <row r="50" spans="2:25" ht="30" x14ac:dyDescent="0.25">
      <c r="F50" s="202" t="s">
        <v>903</v>
      </c>
      <c r="G50" s="82" t="s">
        <v>904</v>
      </c>
      <c r="K50" s="6">
        <f>SUM(K4:K49)</f>
        <v>0</v>
      </c>
      <c r="L50" s="6">
        <f t="shared" ref="L50:N50" si="6">SUM(L4:L49)</f>
        <v>0</v>
      </c>
      <c r="M50" s="6">
        <f t="shared" si="6"/>
        <v>0</v>
      </c>
      <c r="N50" s="6">
        <f t="shared" si="6"/>
        <v>0</v>
      </c>
      <c r="U50" s="6"/>
    </row>
    <row r="51" spans="2:25" x14ac:dyDescent="0.25">
      <c r="F51" s="79">
        <f>COUNTIF(H5:H49,TRUE)</f>
        <v>1</v>
      </c>
      <c r="G51" s="82">
        <f>SUM(G4:G49)</f>
        <v>0</v>
      </c>
      <c r="I51" s="202" t="b">
        <f>AND(I4:I49,indCount_TBHP&gt;1,indWeight_TBHP=1,Q51:V51)</f>
        <v>0</v>
      </c>
      <c r="K51" s="6"/>
      <c r="L51" s="6"/>
      <c r="M51" s="6"/>
      <c r="N51" s="6"/>
      <c r="Q51" s="4" t="b">
        <f>IF(Q3,K50&gt;0,K50=0)</f>
        <v>0</v>
      </c>
      <c r="R51" s="4" t="b">
        <f t="shared" ref="R51:T51" si="7">IF(R3,L50&gt;0,L50=0)</f>
        <v>0</v>
      </c>
      <c r="S51" s="4" t="b">
        <f t="shared" si="7"/>
        <v>0</v>
      </c>
      <c r="T51" s="4" t="b">
        <f t="shared" si="7"/>
        <v>0</v>
      </c>
      <c r="U51" s="6" t="b">
        <f>AND(U4:U49)</f>
        <v>1</v>
      </c>
      <c r="V51" s="4" t="b">
        <f>AND(V4:Y49)</f>
        <v>1</v>
      </c>
    </row>
  </sheetData>
  <sheetProtection algorithmName="SHA-512" hashValue="4lmgnf6jWrLxNkOyB8LTR7CKAUmN3OhUIJwuOxOUbePU7vseWavTcjgLq5obn+QKyvtZXWHqGtGTS2Am/Z2KVQ==" saltValue="VHKDyyJkXOs+lqVEhONAjg==" spinCount="100000" sheet="1" objects="1" scenarios="1" selectLockedCells="1"/>
  <mergeCells count="2">
    <mergeCell ref="B1:G1"/>
    <mergeCell ref="B2:G2"/>
  </mergeCells>
  <conditionalFormatting sqref="B5:F49">
    <cfRule type="expression" dxfId="217" priority="14" stopIfTrue="1">
      <formula>AND(NOT(ISBLANK($H5)),$H5)</formula>
    </cfRule>
  </conditionalFormatting>
  <conditionalFormatting sqref="A1:XFD1 A52:XFD1048576 A2:J51 Z2:XFD51">
    <cfRule type="expression" dxfId="216" priority="15">
      <formula>TRUE</formula>
    </cfRule>
  </conditionalFormatting>
  <conditionalFormatting sqref="G5:G49">
    <cfRule type="expression" dxfId="215" priority="13" stopIfTrue="1">
      <formula>AND(NOT(ISBLANK($H5)),$H5)</formula>
    </cfRule>
  </conditionalFormatting>
  <conditionalFormatting sqref="B4:J49">
    <cfRule type="expression" dxfId="214" priority="12">
      <formula>ISBLANK($H4)</formula>
    </cfRule>
  </conditionalFormatting>
  <conditionalFormatting sqref="G51">
    <cfRule type="cellIs" dxfId="213" priority="9" operator="notEqual">
      <formula>1</formula>
    </cfRule>
  </conditionalFormatting>
  <conditionalFormatting sqref="G4:G49">
    <cfRule type="expression" dxfId="212" priority="10">
      <formula>AND(NOT(ISBLANK($H4)),$H4,OR(ISBLANK($G4),$G4=0))</formula>
    </cfRule>
  </conditionalFormatting>
  <conditionalFormatting sqref="G4:J49">
    <cfRule type="expression" dxfId="211" priority="11" stopIfTrue="1">
      <formula>AND(NOT($H4),OR(NOT(ISBLANK($G4)),NOT(ISBLANK($J4))))</formula>
    </cfRule>
  </conditionalFormatting>
  <conditionalFormatting sqref="J4:J49">
    <cfRule type="expression" dxfId="210" priority="6">
      <formula>AND(D4="COI/NCOI",$H4,OR(ISBLANK($J4),$J4=0))</formula>
    </cfRule>
    <cfRule type="expression" dxfId="209" priority="7" stopIfTrue="1">
      <formula>AND($D4="COI/NCOI",$H4)</formula>
    </cfRule>
  </conditionalFormatting>
  <conditionalFormatting sqref="K2:Y51">
    <cfRule type="expression" dxfId="208" priority="5">
      <formula>TRUE</formula>
    </cfRule>
  </conditionalFormatting>
  <conditionalFormatting sqref="K4:N49">
    <cfRule type="expression" dxfId="207" priority="4">
      <formula>ISBLANK($H4)</formula>
    </cfRule>
  </conditionalFormatting>
  <conditionalFormatting sqref="K4:N49">
    <cfRule type="expression" dxfId="206" priority="1">
      <formula>AND(Q4,NOT(V4))</formula>
    </cfRule>
    <cfRule type="expression" dxfId="205" priority="2" stopIfTrue="1">
      <formula>AND(NOT(V4),NOT(Q4))</formula>
    </cfRule>
    <cfRule type="expression" dxfId="204" priority="3">
      <formula>Q4</formula>
    </cfRule>
  </conditionalFormatting>
  <dataValidations count="3">
    <dataValidation type="decimal" allowBlank="1" showErrorMessage="1" errorTitle="Invalid Input" error="Range is between 0% and 100%." sqref="G5:G49" xr:uid="{7EDB4B4F-B8F2-FA43-A7FA-D3523D1B657D}">
      <formula1>0</formula1>
      <formula2>1</formula2>
    </dataValidation>
    <dataValidation type="list" allowBlank="1" showInputMessage="1" showErrorMessage="1" sqref="J4:J49" xr:uid="{0EE09DB6-4284-9546-A7F2-07DC3BC13785}">
      <formula1>IF(AND(H4,D4="COI/NCOI"),INDIRECT("admin_coi_ncoi"),IF(AND(H4,D4="COI"),INDIRECT("admin_coi"),IF(AND(H4,D4="NCOI"),INDIRECT("admin_ncoi"),Z100)))</formula1>
    </dataValidation>
    <dataValidation type="whole" allowBlank="1" showInputMessage="1" showErrorMessage="1" sqref="K4:N49" xr:uid="{66DC81E8-3594-8749-AADC-C040A13541FB}">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Check Box 1">
              <controlPr defaultSize="0" autoFill="0" autoLine="0" autoPict="0">
                <anchor moveWithCells="1">
                  <from>
                    <xdr:col>5</xdr:col>
                    <xdr:colOff>161925</xdr:colOff>
                    <xdr:row>4</xdr:row>
                    <xdr:rowOff>200025</xdr:rowOff>
                  </from>
                  <to>
                    <xdr:col>5</xdr:col>
                    <xdr:colOff>447675</xdr:colOff>
                    <xdr:row>4</xdr:row>
                    <xdr:rowOff>457200</xdr:rowOff>
                  </to>
                </anchor>
              </controlPr>
            </control>
          </mc:Choice>
        </mc:AlternateContent>
        <mc:AlternateContent xmlns:mc="http://schemas.openxmlformats.org/markup-compatibility/2006">
          <mc:Choice Requires="x14">
            <control shapeId="139266" r:id="rId5" name="Check Box 2">
              <controlPr defaultSize="0" autoFill="0" autoLine="0" autoPict="0">
                <anchor moveWithCells="1">
                  <from>
                    <xdr:col>5</xdr:col>
                    <xdr:colOff>161925</xdr:colOff>
                    <xdr:row>5</xdr:row>
                    <xdr:rowOff>200025</xdr:rowOff>
                  </from>
                  <to>
                    <xdr:col>5</xdr:col>
                    <xdr:colOff>447675</xdr:colOff>
                    <xdr:row>5</xdr:row>
                    <xdr:rowOff>457200</xdr:rowOff>
                  </to>
                </anchor>
              </controlPr>
            </control>
          </mc:Choice>
        </mc:AlternateContent>
        <mc:AlternateContent xmlns:mc="http://schemas.openxmlformats.org/markup-compatibility/2006">
          <mc:Choice Requires="x14">
            <control shapeId="139267" r:id="rId6" name="Check Box 3">
              <controlPr defaultSize="0" autoFill="0" autoLine="0" autoPict="0">
                <anchor moveWithCells="1">
                  <from>
                    <xdr:col>5</xdr:col>
                    <xdr:colOff>161925</xdr:colOff>
                    <xdr:row>6</xdr:row>
                    <xdr:rowOff>200025</xdr:rowOff>
                  </from>
                  <to>
                    <xdr:col>5</xdr:col>
                    <xdr:colOff>447675</xdr:colOff>
                    <xdr:row>6</xdr:row>
                    <xdr:rowOff>457200</xdr:rowOff>
                  </to>
                </anchor>
              </controlPr>
            </control>
          </mc:Choice>
        </mc:AlternateContent>
        <mc:AlternateContent xmlns:mc="http://schemas.openxmlformats.org/markup-compatibility/2006">
          <mc:Choice Requires="x14">
            <control shapeId="139268" r:id="rId7" name="Check Box 4">
              <controlPr defaultSize="0" autoFill="0" autoLine="0" autoPict="0">
                <anchor moveWithCells="1">
                  <from>
                    <xdr:col>5</xdr:col>
                    <xdr:colOff>161925</xdr:colOff>
                    <xdr:row>7</xdr:row>
                    <xdr:rowOff>200025</xdr:rowOff>
                  </from>
                  <to>
                    <xdr:col>5</xdr:col>
                    <xdr:colOff>447675</xdr:colOff>
                    <xdr:row>7</xdr:row>
                    <xdr:rowOff>457200</xdr:rowOff>
                  </to>
                </anchor>
              </controlPr>
            </control>
          </mc:Choice>
        </mc:AlternateContent>
        <mc:AlternateContent xmlns:mc="http://schemas.openxmlformats.org/markup-compatibility/2006">
          <mc:Choice Requires="x14">
            <control shapeId="139269" r:id="rId8" name="Check Box 5">
              <controlPr defaultSize="0" autoFill="0" autoLine="0" autoPict="0">
                <anchor moveWithCells="1">
                  <from>
                    <xdr:col>5</xdr:col>
                    <xdr:colOff>161925</xdr:colOff>
                    <xdr:row>8</xdr:row>
                    <xdr:rowOff>200025</xdr:rowOff>
                  </from>
                  <to>
                    <xdr:col>5</xdr:col>
                    <xdr:colOff>447675</xdr:colOff>
                    <xdr:row>8</xdr:row>
                    <xdr:rowOff>457200</xdr:rowOff>
                  </to>
                </anchor>
              </controlPr>
            </control>
          </mc:Choice>
        </mc:AlternateContent>
        <mc:AlternateContent xmlns:mc="http://schemas.openxmlformats.org/markup-compatibility/2006">
          <mc:Choice Requires="x14">
            <control shapeId="139270" r:id="rId9" name="Check Box 6">
              <controlPr defaultSize="0" autoFill="0" autoLine="0" autoPict="0">
                <anchor moveWithCells="1">
                  <from>
                    <xdr:col>5</xdr:col>
                    <xdr:colOff>161925</xdr:colOff>
                    <xdr:row>9</xdr:row>
                    <xdr:rowOff>200025</xdr:rowOff>
                  </from>
                  <to>
                    <xdr:col>5</xdr:col>
                    <xdr:colOff>447675</xdr:colOff>
                    <xdr:row>9</xdr:row>
                    <xdr:rowOff>457200</xdr:rowOff>
                  </to>
                </anchor>
              </controlPr>
            </control>
          </mc:Choice>
        </mc:AlternateContent>
        <mc:AlternateContent xmlns:mc="http://schemas.openxmlformats.org/markup-compatibility/2006">
          <mc:Choice Requires="x14">
            <control shapeId="139271" r:id="rId10" name="Check Box 7">
              <controlPr defaultSize="0" autoFill="0" autoLine="0" autoPict="0">
                <anchor moveWithCells="1">
                  <from>
                    <xdr:col>5</xdr:col>
                    <xdr:colOff>161925</xdr:colOff>
                    <xdr:row>10</xdr:row>
                    <xdr:rowOff>200025</xdr:rowOff>
                  </from>
                  <to>
                    <xdr:col>5</xdr:col>
                    <xdr:colOff>447675</xdr:colOff>
                    <xdr:row>10</xdr:row>
                    <xdr:rowOff>457200</xdr:rowOff>
                  </to>
                </anchor>
              </controlPr>
            </control>
          </mc:Choice>
        </mc:AlternateContent>
        <mc:AlternateContent xmlns:mc="http://schemas.openxmlformats.org/markup-compatibility/2006">
          <mc:Choice Requires="x14">
            <control shapeId="139272" r:id="rId11" name="Check Box 8">
              <controlPr defaultSize="0" autoFill="0" autoLine="0" autoPict="0">
                <anchor moveWithCells="1">
                  <from>
                    <xdr:col>5</xdr:col>
                    <xdr:colOff>161925</xdr:colOff>
                    <xdr:row>12</xdr:row>
                    <xdr:rowOff>200025</xdr:rowOff>
                  </from>
                  <to>
                    <xdr:col>5</xdr:col>
                    <xdr:colOff>447675</xdr:colOff>
                    <xdr:row>12</xdr:row>
                    <xdr:rowOff>457200</xdr:rowOff>
                  </to>
                </anchor>
              </controlPr>
            </control>
          </mc:Choice>
        </mc:AlternateContent>
        <mc:AlternateContent xmlns:mc="http://schemas.openxmlformats.org/markup-compatibility/2006">
          <mc:Choice Requires="x14">
            <control shapeId="139273" r:id="rId12" name="Check Box 9">
              <controlPr defaultSize="0" autoFill="0" autoLine="0" autoPict="0">
                <anchor moveWithCells="1">
                  <from>
                    <xdr:col>5</xdr:col>
                    <xdr:colOff>161925</xdr:colOff>
                    <xdr:row>13</xdr:row>
                    <xdr:rowOff>200025</xdr:rowOff>
                  </from>
                  <to>
                    <xdr:col>5</xdr:col>
                    <xdr:colOff>447675</xdr:colOff>
                    <xdr:row>13</xdr:row>
                    <xdr:rowOff>457200</xdr:rowOff>
                  </to>
                </anchor>
              </controlPr>
            </control>
          </mc:Choice>
        </mc:AlternateContent>
        <mc:AlternateContent xmlns:mc="http://schemas.openxmlformats.org/markup-compatibility/2006">
          <mc:Choice Requires="x14">
            <control shapeId="139274" r:id="rId13" name="Check Box 10">
              <controlPr defaultSize="0" autoFill="0" autoLine="0" autoPict="0">
                <anchor moveWithCells="1">
                  <from>
                    <xdr:col>5</xdr:col>
                    <xdr:colOff>161925</xdr:colOff>
                    <xdr:row>14</xdr:row>
                    <xdr:rowOff>200025</xdr:rowOff>
                  </from>
                  <to>
                    <xdr:col>5</xdr:col>
                    <xdr:colOff>447675</xdr:colOff>
                    <xdr:row>14</xdr:row>
                    <xdr:rowOff>457200</xdr:rowOff>
                  </to>
                </anchor>
              </controlPr>
            </control>
          </mc:Choice>
        </mc:AlternateContent>
        <mc:AlternateContent xmlns:mc="http://schemas.openxmlformats.org/markup-compatibility/2006">
          <mc:Choice Requires="x14">
            <control shapeId="139275" r:id="rId14" name="Check Box 11">
              <controlPr defaultSize="0" autoFill="0" autoLine="0" autoPict="0">
                <anchor moveWithCells="1">
                  <from>
                    <xdr:col>5</xdr:col>
                    <xdr:colOff>161925</xdr:colOff>
                    <xdr:row>15</xdr:row>
                    <xdr:rowOff>200025</xdr:rowOff>
                  </from>
                  <to>
                    <xdr:col>5</xdr:col>
                    <xdr:colOff>447675</xdr:colOff>
                    <xdr:row>15</xdr:row>
                    <xdr:rowOff>457200</xdr:rowOff>
                  </to>
                </anchor>
              </controlPr>
            </control>
          </mc:Choice>
        </mc:AlternateContent>
        <mc:AlternateContent xmlns:mc="http://schemas.openxmlformats.org/markup-compatibility/2006">
          <mc:Choice Requires="x14">
            <control shapeId="139276" r:id="rId15" name="Check Box 12">
              <controlPr defaultSize="0" autoFill="0" autoLine="0" autoPict="0">
                <anchor moveWithCells="1">
                  <from>
                    <xdr:col>5</xdr:col>
                    <xdr:colOff>161925</xdr:colOff>
                    <xdr:row>16</xdr:row>
                    <xdr:rowOff>200025</xdr:rowOff>
                  </from>
                  <to>
                    <xdr:col>5</xdr:col>
                    <xdr:colOff>447675</xdr:colOff>
                    <xdr:row>16</xdr:row>
                    <xdr:rowOff>457200</xdr:rowOff>
                  </to>
                </anchor>
              </controlPr>
            </control>
          </mc:Choice>
        </mc:AlternateContent>
        <mc:AlternateContent xmlns:mc="http://schemas.openxmlformats.org/markup-compatibility/2006">
          <mc:Choice Requires="x14">
            <control shapeId="139277" r:id="rId16" name="Check Box 13">
              <controlPr defaultSize="0" autoFill="0" autoLine="0" autoPict="0">
                <anchor moveWithCells="1">
                  <from>
                    <xdr:col>5</xdr:col>
                    <xdr:colOff>161925</xdr:colOff>
                    <xdr:row>17</xdr:row>
                    <xdr:rowOff>200025</xdr:rowOff>
                  </from>
                  <to>
                    <xdr:col>5</xdr:col>
                    <xdr:colOff>447675</xdr:colOff>
                    <xdr:row>17</xdr:row>
                    <xdr:rowOff>457200</xdr:rowOff>
                  </to>
                </anchor>
              </controlPr>
            </control>
          </mc:Choice>
        </mc:AlternateContent>
        <mc:AlternateContent xmlns:mc="http://schemas.openxmlformats.org/markup-compatibility/2006">
          <mc:Choice Requires="x14">
            <control shapeId="139278" r:id="rId17" name="Check Box 14">
              <controlPr defaultSize="0" autoFill="0" autoLine="0" autoPict="0">
                <anchor moveWithCells="1">
                  <from>
                    <xdr:col>5</xdr:col>
                    <xdr:colOff>161925</xdr:colOff>
                    <xdr:row>19</xdr:row>
                    <xdr:rowOff>200025</xdr:rowOff>
                  </from>
                  <to>
                    <xdr:col>5</xdr:col>
                    <xdr:colOff>447675</xdr:colOff>
                    <xdr:row>19</xdr:row>
                    <xdr:rowOff>457200</xdr:rowOff>
                  </to>
                </anchor>
              </controlPr>
            </control>
          </mc:Choice>
        </mc:AlternateContent>
        <mc:AlternateContent xmlns:mc="http://schemas.openxmlformats.org/markup-compatibility/2006">
          <mc:Choice Requires="x14">
            <control shapeId="139279" r:id="rId18" name="Check Box 15">
              <controlPr defaultSize="0" autoFill="0" autoLine="0" autoPict="0">
                <anchor moveWithCells="1">
                  <from>
                    <xdr:col>5</xdr:col>
                    <xdr:colOff>161925</xdr:colOff>
                    <xdr:row>20</xdr:row>
                    <xdr:rowOff>200025</xdr:rowOff>
                  </from>
                  <to>
                    <xdr:col>5</xdr:col>
                    <xdr:colOff>447675</xdr:colOff>
                    <xdr:row>20</xdr:row>
                    <xdr:rowOff>457200</xdr:rowOff>
                  </to>
                </anchor>
              </controlPr>
            </control>
          </mc:Choice>
        </mc:AlternateContent>
        <mc:AlternateContent xmlns:mc="http://schemas.openxmlformats.org/markup-compatibility/2006">
          <mc:Choice Requires="x14">
            <control shapeId="139280" r:id="rId19" name="Check Box 16">
              <controlPr defaultSize="0" autoFill="0" autoLine="0" autoPict="0">
                <anchor moveWithCells="1">
                  <from>
                    <xdr:col>5</xdr:col>
                    <xdr:colOff>161925</xdr:colOff>
                    <xdr:row>21</xdr:row>
                    <xdr:rowOff>200025</xdr:rowOff>
                  </from>
                  <to>
                    <xdr:col>5</xdr:col>
                    <xdr:colOff>447675</xdr:colOff>
                    <xdr:row>21</xdr:row>
                    <xdr:rowOff>457200</xdr:rowOff>
                  </to>
                </anchor>
              </controlPr>
            </control>
          </mc:Choice>
        </mc:AlternateContent>
        <mc:AlternateContent xmlns:mc="http://schemas.openxmlformats.org/markup-compatibility/2006">
          <mc:Choice Requires="x14">
            <control shapeId="139281" r:id="rId20" name="Check Box 17">
              <controlPr defaultSize="0" autoFill="0" autoLine="0" autoPict="0">
                <anchor moveWithCells="1">
                  <from>
                    <xdr:col>5</xdr:col>
                    <xdr:colOff>161925</xdr:colOff>
                    <xdr:row>22</xdr:row>
                    <xdr:rowOff>200025</xdr:rowOff>
                  </from>
                  <to>
                    <xdr:col>5</xdr:col>
                    <xdr:colOff>447675</xdr:colOff>
                    <xdr:row>22</xdr:row>
                    <xdr:rowOff>457200</xdr:rowOff>
                  </to>
                </anchor>
              </controlPr>
            </control>
          </mc:Choice>
        </mc:AlternateContent>
        <mc:AlternateContent xmlns:mc="http://schemas.openxmlformats.org/markup-compatibility/2006">
          <mc:Choice Requires="x14">
            <control shapeId="139282" r:id="rId21" name="Check Box 18">
              <controlPr defaultSize="0" autoFill="0" autoLine="0" autoPict="0">
                <anchor moveWithCells="1">
                  <from>
                    <xdr:col>5</xdr:col>
                    <xdr:colOff>161925</xdr:colOff>
                    <xdr:row>23</xdr:row>
                    <xdr:rowOff>200025</xdr:rowOff>
                  </from>
                  <to>
                    <xdr:col>5</xdr:col>
                    <xdr:colOff>447675</xdr:colOff>
                    <xdr:row>23</xdr:row>
                    <xdr:rowOff>457200</xdr:rowOff>
                  </to>
                </anchor>
              </controlPr>
            </control>
          </mc:Choice>
        </mc:AlternateContent>
        <mc:AlternateContent xmlns:mc="http://schemas.openxmlformats.org/markup-compatibility/2006">
          <mc:Choice Requires="x14">
            <control shapeId="139283" r:id="rId22" name="Check Box 19">
              <controlPr defaultSize="0" autoFill="0" autoLine="0" autoPict="0">
                <anchor moveWithCells="1">
                  <from>
                    <xdr:col>5</xdr:col>
                    <xdr:colOff>161925</xdr:colOff>
                    <xdr:row>25</xdr:row>
                    <xdr:rowOff>200025</xdr:rowOff>
                  </from>
                  <to>
                    <xdr:col>5</xdr:col>
                    <xdr:colOff>447675</xdr:colOff>
                    <xdr:row>25</xdr:row>
                    <xdr:rowOff>457200</xdr:rowOff>
                  </to>
                </anchor>
              </controlPr>
            </control>
          </mc:Choice>
        </mc:AlternateContent>
        <mc:AlternateContent xmlns:mc="http://schemas.openxmlformats.org/markup-compatibility/2006">
          <mc:Choice Requires="x14">
            <control shapeId="139284" r:id="rId23" name="Check Box 20">
              <controlPr defaultSize="0" autoFill="0" autoLine="0" autoPict="0">
                <anchor moveWithCells="1">
                  <from>
                    <xdr:col>5</xdr:col>
                    <xdr:colOff>161925</xdr:colOff>
                    <xdr:row>26</xdr:row>
                    <xdr:rowOff>200025</xdr:rowOff>
                  </from>
                  <to>
                    <xdr:col>5</xdr:col>
                    <xdr:colOff>447675</xdr:colOff>
                    <xdr:row>26</xdr:row>
                    <xdr:rowOff>457200</xdr:rowOff>
                  </to>
                </anchor>
              </controlPr>
            </control>
          </mc:Choice>
        </mc:AlternateContent>
        <mc:AlternateContent xmlns:mc="http://schemas.openxmlformats.org/markup-compatibility/2006">
          <mc:Choice Requires="x14">
            <control shapeId="139285" r:id="rId24" name="Check Box 21">
              <controlPr defaultSize="0" autoFill="0" autoLine="0" autoPict="0">
                <anchor moveWithCells="1">
                  <from>
                    <xdr:col>5</xdr:col>
                    <xdr:colOff>161925</xdr:colOff>
                    <xdr:row>27</xdr:row>
                    <xdr:rowOff>200025</xdr:rowOff>
                  </from>
                  <to>
                    <xdr:col>5</xdr:col>
                    <xdr:colOff>447675</xdr:colOff>
                    <xdr:row>27</xdr:row>
                    <xdr:rowOff>457200</xdr:rowOff>
                  </to>
                </anchor>
              </controlPr>
            </control>
          </mc:Choice>
        </mc:AlternateContent>
        <mc:AlternateContent xmlns:mc="http://schemas.openxmlformats.org/markup-compatibility/2006">
          <mc:Choice Requires="x14">
            <control shapeId="139286" r:id="rId25" name="Check Box 22">
              <controlPr defaultSize="0" autoFill="0" autoLine="0" autoPict="0">
                <anchor moveWithCells="1">
                  <from>
                    <xdr:col>5</xdr:col>
                    <xdr:colOff>161925</xdr:colOff>
                    <xdr:row>28</xdr:row>
                    <xdr:rowOff>200025</xdr:rowOff>
                  </from>
                  <to>
                    <xdr:col>5</xdr:col>
                    <xdr:colOff>447675</xdr:colOff>
                    <xdr:row>28</xdr:row>
                    <xdr:rowOff>457200</xdr:rowOff>
                  </to>
                </anchor>
              </controlPr>
            </control>
          </mc:Choice>
        </mc:AlternateContent>
        <mc:AlternateContent xmlns:mc="http://schemas.openxmlformats.org/markup-compatibility/2006">
          <mc:Choice Requires="x14">
            <control shapeId="139287" r:id="rId26" name="Check Box 23">
              <controlPr defaultSize="0" autoFill="0" autoLine="0" autoPict="0">
                <anchor moveWithCells="1">
                  <from>
                    <xdr:col>5</xdr:col>
                    <xdr:colOff>161925</xdr:colOff>
                    <xdr:row>29</xdr:row>
                    <xdr:rowOff>200025</xdr:rowOff>
                  </from>
                  <to>
                    <xdr:col>5</xdr:col>
                    <xdr:colOff>447675</xdr:colOff>
                    <xdr:row>29</xdr:row>
                    <xdr:rowOff>457200</xdr:rowOff>
                  </to>
                </anchor>
              </controlPr>
            </control>
          </mc:Choice>
        </mc:AlternateContent>
        <mc:AlternateContent xmlns:mc="http://schemas.openxmlformats.org/markup-compatibility/2006">
          <mc:Choice Requires="x14">
            <control shapeId="139288" r:id="rId27" name="Check Box 24">
              <controlPr defaultSize="0" autoFill="0" autoLine="0" autoPict="0">
                <anchor moveWithCells="1">
                  <from>
                    <xdr:col>5</xdr:col>
                    <xdr:colOff>161925</xdr:colOff>
                    <xdr:row>31</xdr:row>
                    <xdr:rowOff>200025</xdr:rowOff>
                  </from>
                  <to>
                    <xdr:col>5</xdr:col>
                    <xdr:colOff>447675</xdr:colOff>
                    <xdr:row>31</xdr:row>
                    <xdr:rowOff>457200</xdr:rowOff>
                  </to>
                </anchor>
              </controlPr>
            </control>
          </mc:Choice>
        </mc:AlternateContent>
        <mc:AlternateContent xmlns:mc="http://schemas.openxmlformats.org/markup-compatibility/2006">
          <mc:Choice Requires="x14">
            <control shapeId="139289" r:id="rId28" name="Check Box 25">
              <controlPr defaultSize="0" autoFill="0" autoLine="0" autoPict="0">
                <anchor moveWithCells="1">
                  <from>
                    <xdr:col>5</xdr:col>
                    <xdr:colOff>161925</xdr:colOff>
                    <xdr:row>32</xdr:row>
                    <xdr:rowOff>200025</xdr:rowOff>
                  </from>
                  <to>
                    <xdr:col>5</xdr:col>
                    <xdr:colOff>447675</xdr:colOff>
                    <xdr:row>32</xdr:row>
                    <xdr:rowOff>457200</xdr:rowOff>
                  </to>
                </anchor>
              </controlPr>
            </control>
          </mc:Choice>
        </mc:AlternateContent>
        <mc:AlternateContent xmlns:mc="http://schemas.openxmlformats.org/markup-compatibility/2006">
          <mc:Choice Requires="x14">
            <control shapeId="139290" r:id="rId29" name="Check Box 26">
              <controlPr defaultSize="0" autoFill="0" autoLine="0" autoPict="0">
                <anchor moveWithCells="1">
                  <from>
                    <xdr:col>5</xdr:col>
                    <xdr:colOff>161925</xdr:colOff>
                    <xdr:row>33</xdr:row>
                    <xdr:rowOff>200025</xdr:rowOff>
                  </from>
                  <to>
                    <xdr:col>5</xdr:col>
                    <xdr:colOff>447675</xdr:colOff>
                    <xdr:row>33</xdr:row>
                    <xdr:rowOff>457200</xdr:rowOff>
                  </to>
                </anchor>
              </controlPr>
            </control>
          </mc:Choice>
        </mc:AlternateContent>
        <mc:AlternateContent xmlns:mc="http://schemas.openxmlformats.org/markup-compatibility/2006">
          <mc:Choice Requires="x14">
            <control shapeId="139291" r:id="rId30" name="Check Box 27">
              <controlPr defaultSize="0" autoFill="0" autoLine="0" autoPict="0">
                <anchor moveWithCells="1">
                  <from>
                    <xdr:col>5</xdr:col>
                    <xdr:colOff>161925</xdr:colOff>
                    <xdr:row>34</xdr:row>
                    <xdr:rowOff>200025</xdr:rowOff>
                  </from>
                  <to>
                    <xdr:col>5</xdr:col>
                    <xdr:colOff>447675</xdr:colOff>
                    <xdr:row>34</xdr:row>
                    <xdr:rowOff>457200</xdr:rowOff>
                  </to>
                </anchor>
              </controlPr>
            </control>
          </mc:Choice>
        </mc:AlternateContent>
        <mc:AlternateContent xmlns:mc="http://schemas.openxmlformats.org/markup-compatibility/2006">
          <mc:Choice Requires="x14">
            <control shapeId="139292" r:id="rId31" name="Check Box 28">
              <controlPr defaultSize="0" autoFill="0" autoLine="0" autoPict="0">
                <anchor moveWithCells="1">
                  <from>
                    <xdr:col>5</xdr:col>
                    <xdr:colOff>161925</xdr:colOff>
                    <xdr:row>35</xdr:row>
                    <xdr:rowOff>200025</xdr:rowOff>
                  </from>
                  <to>
                    <xdr:col>5</xdr:col>
                    <xdr:colOff>447675</xdr:colOff>
                    <xdr:row>35</xdr:row>
                    <xdr:rowOff>457200</xdr:rowOff>
                  </to>
                </anchor>
              </controlPr>
            </control>
          </mc:Choice>
        </mc:AlternateContent>
        <mc:AlternateContent xmlns:mc="http://schemas.openxmlformats.org/markup-compatibility/2006">
          <mc:Choice Requires="x14">
            <control shapeId="139293" r:id="rId32" name="Check Box 29">
              <controlPr defaultSize="0" autoFill="0" autoLine="0" autoPict="0">
                <anchor moveWithCells="1">
                  <from>
                    <xdr:col>5</xdr:col>
                    <xdr:colOff>161925</xdr:colOff>
                    <xdr:row>37</xdr:row>
                    <xdr:rowOff>200025</xdr:rowOff>
                  </from>
                  <to>
                    <xdr:col>5</xdr:col>
                    <xdr:colOff>447675</xdr:colOff>
                    <xdr:row>37</xdr:row>
                    <xdr:rowOff>457200</xdr:rowOff>
                  </to>
                </anchor>
              </controlPr>
            </control>
          </mc:Choice>
        </mc:AlternateContent>
        <mc:AlternateContent xmlns:mc="http://schemas.openxmlformats.org/markup-compatibility/2006">
          <mc:Choice Requires="x14">
            <control shapeId="139294" r:id="rId33" name="Check Box 30">
              <controlPr defaultSize="0" autoFill="0" autoLine="0" autoPict="0">
                <anchor moveWithCells="1">
                  <from>
                    <xdr:col>5</xdr:col>
                    <xdr:colOff>161925</xdr:colOff>
                    <xdr:row>38</xdr:row>
                    <xdr:rowOff>200025</xdr:rowOff>
                  </from>
                  <to>
                    <xdr:col>5</xdr:col>
                    <xdr:colOff>447675</xdr:colOff>
                    <xdr:row>38</xdr:row>
                    <xdr:rowOff>457200</xdr:rowOff>
                  </to>
                </anchor>
              </controlPr>
            </control>
          </mc:Choice>
        </mc:AlternateContent>
        <mc:AlternateContent xmlns:mc="http://schemas.openxmlformats.org/markup-compatibility/2006">
          <mc:Choice Requires="x14">
            <control shapeId="139295" r:id="rId34" name="Check Box 31">
              <controlPr defaultSize="0" autoFill="0" autoLine="0" autoPict="0">
                <anchor moveWithCells="1">
                  <from>
                    <xdr:col>5</xdr:col>
                    <xdr:colOff>161925</xdr:colOff>
                    <xdr:row>39</xdr:row>
                    <xdr:rowOff>200025</xdr:rowOff>
                  </from>
                  <to>
                    <xdr:col>5</xdr:col>
                    <xdr:colOff>447675</xdr:colOff>
                    <xdr:row>39</xdr:row>
                    <xdr:rowOff>457200</xdr:rowOff>
                  </to>
                </anchor>
              </controlPr>
            </control>
          </mc:Choice>
        </mc:AlternateContent>
        <mc:AlternateContent xmlns:mc="http://schemas.openxmlformats.org/markup-compatibility/2006">
          <mc:Choice Requires="x14">
            <control shapeId="139296" r:id="rId35" name="Check Box 32">
              <controlPr defaultSize="0" autoFill="0" autoLine="0" autoPict="0">
                <anchor moveWithCells="1">
                  <from>
                    <xdr:col>5</xdr:col>
                    <xdr:colOff>161925</xdr:colOff>
                    <xdr:row>40</xdr:row>
                    <xdr:rowOff>200025</xdr:rowOff>
                  </from>
                  <to>
                    <xdr:col>5</xdr:col>
                    <xdr:colOff>447675</xdr:colOff>
                    <xdr:row>40</xdr:row>
                    <xdr:rowOff>457200</xdr:rowOff>
                  </to>
                </anchor>
              </controlPr>
            </control>
          </mc:Choice>
        </mc:AlternateContent>
        <mc:AlternateContent xmlns:mc="http://schemas.openxmlformats.org/markup-compatibility/2006">
          <mc:Choice Requires="x14">
            <control shapeId="139297" r:id="rId36" name="Check Box 33">
              <controlPr defaultSize="0" autoFill="0" autoLine="0" autoPict="0">
                <anchor moveWithCells="1">
                  <from>
                    <xdr:col>5</xdr:col>
                    <xdr:colOff>161925</xdr:colOff>
                    <xdr:row>42</xdr:row>
                    <xdr:rowOff>200025</xdr:rowOff>
                  </from>
                  <to>
                    <xdr:col>5</xdr:col>
                    <xdr:colOff>447675</xdr:colOff>
                    <xdr:row>42</xdr:row>
                    <xdr:rowOff>457200</xdr:rowOff>
                  </to>
                </anchor>
              </controlPr>
            </control>
          </mc:Choice>
        </mc:AlternateContent>
        <mc:AlternateContent xmlns:mc="http://schemas.openxmlformats.org/markup-compatibility/2006">
          <mc:Choice Requires="x14">
            <control shapeId="139298" r:id="rId37" name="Check Box 34">
              <controlPr defaultSize="0" autoFill="0" autoLine="0" autoPict="0">
                <anchor moveWithCells="1">
                  <from>
                    <xdr:col>5</xdr:col>
                    <xdr:colOff>161925</xdr:colOff>
                    <xdr:row>43</xdr:row>
                    <xdr:rowOff>200025</xdr:rowOff>
                  </from>
                  <to>
                    <xdr:col>5</xdr:col>
                    <xdr:colOff>447675</xdr:colOff>
                    <xdr:row>43</xdr:row>
                    <xdr:rowOff>457200</xdr:rowOff>
                  </to>
                </anchor>
              </controlPr>
            </control>
          </mc:Choice>
        </mc:AlternateContent>
        <mc:AlternateContent xmlns:mc="http://schemas.openxmlformats.org/markup-compatibility/2006">
          <mc:Choice Requires="x14">
            <control shapeId="139299" r:id="rId38" name="Check Box 35">
              <controlPr defaultSize="0" autoFill="0" autoLine="0" autoPict="0">
                <anchor moveWithCells="1">
                  <from>
                    <xdr:col>5</xdr:col>
                    <xdr:colOff>161925</xdr:colOff>
                    <xdr:row>44</xdr:row>
                    <xdr:rowOff>200025</xdr:rowOff>
                  </from>
                  <to>
                    <xdr:col>5</xdr:col>
                    <xdr:colOff>447675</xdr:colOff>
                    <xdr:row>44</xdr:row>
                    <xdr:rowOff>457200</xdr:rowOff>
                  </to>
                </anchor>
              </controlPr>
            </control>
          </mc:Choice>
        </mc:AlternateContent>
        <mc:AlternateContent xmlns:mc="http://schemas.openxmlformats.org/markup-compatibility/2006">
          <mc:Choice Requires="x14">
            <control shapeId="139300" r:id="rId39" name="Check Box 36">
              <controlPr defaultSize="0" autoFill="0" autoLine="0" autoPict="0">
                <anchor moveWithCells="1">
                  <from>
                    <xdr:col>5</xdr:col>
                    <xdr:colOff>161925</xdr:colOff>
                    <xdr:row>45</xdr:row>
                    <xdr:rowOff>200025</xdr:rowOff>
                  </from>
                  <to>
                    <xdr:col>5</xdr:col>
                    <xdr:colOff>447675</xdr:colOff>
                    <xdr:row>45</xdr:row>
                    <xdr:rowOff>457200</xdr:rowOff>
                  </to>
                </anchor>
              </controlPr>
            </control>
          </mc:Choice>
        </mc:AlternateContent>
        <mc:AlternateContent xmlns:mc="http://schemas.openxmlformats.org/markup-compatibility/2006">
          <mc:Choice Requires="x14">
            <control shapeId="139301" r:id="rId40" name="Check Box 37">
              <controlPr defaultSize="0" autoFill="0" autoLine="0" autoPict="0">
                <anchor moveWithCells="1">
                  <from>
                    <xdr:col>5</xdr:col>
                    <xdr:colOff>161925</xdr:colOff>
                    <xdr:row>46</xdr:row>
                    <xdr:rowOff>200025</xdr:rowOff>
                  </from>
                  <to>
                    <xdr:col>5</xdr:col>
                    <xdr:colOff>447675</xdr:colOff>
                    <xdr:row>46</xdr:row>
                    <xdr:rowOff>457200</xdr:rowOff>
                  </to>
                </anchor>
              </controlPr>
            </control>
          </mc:Choice>
        </mc:AlternateContent>
        <mc:AlternateContent xmlns:mc="http://schemas.openxmlformats.org/markup-compatibility/2006">
          <mc:Choice Requires="x14">
            <control shapeId="139302" r:id="rId41" name="Button 38">
              <controlPr defaultSize="0" print="0" autoFill="0" autoPict="0" macro="[0]!TBHP_Sheet.TBHPNext">
                <anchor moveWithCells="1" sizeWithCells="1">
                  <from>
                    <xdr:col>2</xdr:col>
                    <xdr:colOff>4143375</xdr:colOff>
                    <xdr:row>51</xdr:row>
                    <xdr:rowOff>76200</xdr:rowOff>
                  </from>
                  <to>
                    <xdr:col>3</xdr:col>
                    <xdr:colOff>571500</xdr:colOff>
                    <xdr:row>53</xdr:row>
                    <xdr:rowOff>161925</xdr:rowOff>
                  </to>
                </anchor>
              </controlPr>
            </control>
          </mc:Choice>
        </mc:AlternateContent>
        <mc:AlternateContent xmlns:mc="http://schemas.openxmlformats.org/markup-compatibility/2006">
          <mc:Choice Requires="x14">
            <control shapeId="139303" r:id="rId42" name="Button 39">
              <controlPr defaultSize="0" print="0" autoFill="0" autoPict="0" macro="[0]!TBHP_Sheet.TBHPBack">
                <anchor moveWithCells="1" sizeWithCells="1">
                  <from>
                    <xdr:col>2</xdr:col>
                    <xdr:colOff>942975</xdr:colOff>
                    <xdr:row>51</xdr:row>
                    <xdr:rowOff>85725</xdr:rowOff>
                  </from>
                  <to>
                    <xdr:col>2</xdr:col>
                    <xdr:colOff>2124075</xdr:colOff>
                    <xdr:row>53</xdr:row>
                    <xdr:rowOff>161925</xdr:rowOff>
                  </to>
                </anchor>
              </controlPr>
            </control>
          </mc:Choice>
        </mc:AlternateContent>
        <mc:AlternateContent xmlns:mc="http://schemas.openxmlformats.org/markup-compatibility/2006">
          <mc:Choice Requires="x14">
            <control shapeId="139304" r:id="rId43" name="Check Box 40">
              <controlPr defaultSize="0" autoFill="0" autoLine="0" autoPict="0">
                <anchor moveWithCells="1">
                  <from>
                    <xdr:col>5</xdr:col>
                    <xdr:colOff>161925</xdr:colOff>
                    <xdr:row>48</xdr:row>
                    <xdr:rowOff>200025</xdr:rowOff>
                  </from>
                  <to>
                    <xdr:col>5</xdr:col>
                    <xdr:colOff>447675</xdr:colOff>
                    <xdr:row>48</xdr:row>
                    <xdr:rowOff>457200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8" operator="notBetween" id="{AC51A212-F477-B744-A58B-E8B19B09FA55}">
            <xm:f>1</xm:f>
            <xm:f>COUNT(RegPInd!$A$2:$A$39)</xm:f>
            <x14:dxf>
              <font>
                <b/>
                <i val="0"/>
                <color rgb="FFFF0000"/>
              </font>
            </x14:dxf>
          </x14:cfRule>
          <xm:sqref>F51</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9DAE5-CF9E-4B0B-BCBB-028918FD0ED8}">
  <sheetPr codeName="Info_Sheet"/>
  <dimension ref="A1:Q53"/>
  <sheetViews>
    <sheetView showGridLines="0" topLeftCell="E1" zoomScaleNormal="100" workbookViewId="0">
      <selection activeCell="I9" sqref="I9"/>
    </sheetView>
  </sheetViews>
  <sheetFormatPr defaultColWidth="8.85546875" defaultRowHeight="15.75" x14ac:dyDescent="0.25"/>
  <cols>
    <col min="1" max="1" width="4.28515625" style="248" hidden="1" customWidth="1"/>
    <col min="2" max="2" width="6.140625" style="248" hidden="1" customWidth="1"/>
    <col min="3" max="3" width="13" style="249" hidden="1" customWidth="1"/>
    <col min="4" max="4" width="14.140625" style="248" hidden="1" customWidth="1"/>
    <col min="5" max="5" width="7.7109375" style="242" customWidth="1"/>
    <col min="6" max="6" width="19.140625" style="242" customWidth="1"/>
    <col min="7" max="7" width="4.140625" style="242" customWidth="1"/>
    <col min="8" max="8" width="6.140625" style="242" customWidth="1"/>
    <col min="9" max="9" width="63.28515625" style="242" customWidth="1"/>
    <col min="10" max="10" width="10.42578125" style="242" customWidth="1"/>
    <col min="11" max="12" width="8.85546875" style="242"/>
    <col min="13" max="15" width="8.85546875" style="242" hidden="1" customWidth="1"/>
    <col min="16" max="16" width="16.140625" style="242" hidden="1" customWidth="1"/>
    <col min="17" max="17" width="8.85546875" style="242" hidden="1" customWidth="1"/>
    <col min="18" max="16384" width="8.85546875" style="242"/>
  </cols>
  <sheetData>
    <row r="1" spans="1:17" ht="23.25" x14ac:dyDescent="0.35">
      <c r="A1" s="418"/>
      <c r="B1" s="418"/>
      <c r="C1" s="419"/>
      <c r="D1" s="418"/>
      <c r="E1" s="509" t="str">
        <f>"OFFICIAL ELECTRONIC IPCRF TOOL v"&amp;meta!$B$3</f>
        <v>OFFICIAL ELECTRONIC IPCRF TOOL v4.3</v>
      </c>
      <c r="F1" s="509"/>
      <c r="G1" s="509"/>
      <c r="H1" s="509"/>
      <c r="I1" s="509"/>
      <c r="J1" s="509"/>
      <c r="K1" s="509"/>
      <c r="L1" s="509"/>
      <c r="M1" s="420"/>
      <c r="N1" s="420"/>
      <c r="O1" s="420"/>
      <c r="P1" s="420"/>
      <c r="Q1" s="420"/>
    </row>
    <row r="2" spans="1:17" x14ac:dyDescent="0.25">
      <c r="A2" s="418"/>
      <c r="B2" s="418"/>
      <c r="C2" s="419"/>
      <c r="D2" s="418"/>
      <c r="E2" s="510" t="str">
        <f>selected_career_stage &amp; " " &amp; selected_teacher_type</f>
        <v>Proficient Regular Teacher</v>
      </c>
      <c r="F2" s="510"/>
      <c r="G2" s="510"/>
      <c r="H2" s="510"/>
      <c r="I2" s="510"/>
      <c r="J2" s="510"/>
      <c r="K2" s="510"/>
      <c r="L2" s="510"/>
      <c r="M2" s="420"/>
      <c r="N2" s="420"/>
      <c r="O2" s="420"/>
      <c r="P2" s="420"/>
      <c r="Q2" s="420"/>
    </row>
    <row r="3" spans="1:17" x14ac:dyDescent="0.25">
      <c r="A3" s="418"/>
      <c r="B3" s="418"/>
      <c r="C3" s="419"/>
      <c r="D3" s="418"/>
      <c r="E3" s="510" t="str" cm="1">
        <f t="array" ref="E3">demographics[rating_period]</f>
        <v>SY 2023-2024</v>
      </c>
      <c r="F3" s="510"/>
      <c r="G3" s="510"/>
      <c r="H3" s="510"/>
      <c r="I3" s="510"/>
      <c r="J3" s="510"/>
      <c r="K3" s="510"/>
      <c r="L3" s="510"/>
      <c r="M3" s="420"/>
      <c r="N3" s="420"/>
      <c r="O3" s="420"/>
      <c r="P3" s="420"/>
      <c r="Q3" s="420"/>
    </row>
    <row r="5" spans="1:17" ht="38.1" customHeight="1" x14ac:dyDescent="0.25">
      <c r="A5" s="418"/>
      <c r="B5" s="418"/>
      <c r="C5" s="419"/>
      <c r="D5" s="418"/>
      <c r="E5" s="420"/>
      <c r="F5" s="511" t="s">
        <v>908</v>
      </c>
      <c r="G5" s="511"/>
      <c r="H5" s="511"/>
      <c r="I5" s="511"/>
      <c r="J5" s="511"/>
      <c r="K5" s="511"/>
      <c r="L5" s="420"/>
      <c r="M5" s="420"/>
      <c r="N5" s="420"/>
      <c r="O5" s="420"/>
      <c r="P5" s="420"/>
      <c r="Q5" s="420"/>
    </row>
    <row r="7" spans="1:17" ht="18.75" x14ac:dyDescent="0.3">
      <c r="A7" s="418"/>
      <c r="B7" s="418"/>
      <c r="C7" s="419"/>
      <c r="D7" s="418"/>
      <c r="E7" s="420"/>
      <c r="F7" s="245"/>
      <c r="G7" s="357"/>
      <c r="H7" s="246" t="s">
        <v>909</v>
      </c>
      <c r="I7" s="247" t="str">
        <f>sy_start &amp; " - " &amp; sy_end</f>
        <v>2023 - 2024</v>
      </c>
      <c r="J7" s="420"/>
      <c r="K7" s="420"/>
      <c r="L7" s="420"/>
      <c r="M7" s="420"/>
      <c r="N7" s="420"/>
      <c r="O7" s="420"/>
      <c r="P7" s="420"/>
      <c r="Q7" s="420"/>
    </row>
    <row r="8" spans="1:17" ht="18.75" x14ac:dyDescent="0.3">
      <c r="A8" s="418"/>
      <c r="B8" s="418"/>
      <c r="C8" s="419"/>
      <c r="D8" s="418"/>
      <c r="E8" s="420"/>
      <c r="F8" s="245"/>
      <c r="G8" s="357"/>
      <c r="H8" s="246" t="s">
        <v>874</v>
      </c>
      <c r="I8" s="247" t="str">
        <f>selected_teacher_type</f>
        <v>Regular Teacher</v>
      </c>
      <c r="J8" s="420"/>
      <c r="K8" s="420"/>
      <c r="L8" s="420"/>
      <c r="M8" s="420"/>
      <c r="N8" s="421" t="s">
        <v>910</v>
      </c>
      <c r="O8" s="420" t="b">
        <v>1</v>
      </c>
      <c r="P8" s="420"/>
      <c r="Q8" s="420"/>
    </row>
    <row r="9" spans="1:17" ht="18.75" x14ac:dyDescent="0.3">
      <c r="A9" s="418"/>
      <c r="B9" s="418"/>
      <c r="C9" s="419"/>
      <c r="D9" s="418"/>
      <c r="E9" s="420"/>
      <c r="F9" s="245"/>
      <c r="G9" s="357"/>
      <c r="H9" s="246" t="s">
        <v>868</v>
      </c>
      <c r="I9" s="363" t="s">
        <v>727</v>
      </c>
      <c r="J9" s="420"/>
      <c r="K9" s="420"/>
      <c r="L9" s="420"/>
      <c r="M9" s="420"/>
      <c r="N9" s="421" t="str" cm="1">
        <f t="array" aca="1" ref="N9" ca="1">CELL("address",selected_career_stage)</f>
        <v>$I$9</v>
      </c>
      <c r="O9" s="362" t="b">
        <f ca="1">IFERROR(IF(Q9=FALSE,FALSE,Q9&gt;0),FALSE)</f>
        <v>1</v>
      </c>
      <c r="P9" s="420" t="s">
        <v>911</v>
      </c>
      <c r="Q9" s="420">
        <f t="array" aca="1" ref="Q9" ca="1">IFERROR(MATCH(TRUE,EXACT(INDIRECT(N9),INDIRECT(P9)),0),EXACT(INDIRECT(N9),INDIRECT(P9)))</f>
        <v>1</v>
      </c>
    </row>
    <row r="10" spans="1:17" ht="18.75" x14ac:dyDescent="0.3">
      <c r="A10" s="418"/>
      <c r="B10" s="418"/>
      <c r="C10" s="419"/>
      <c r="D10" s="418"/>
      <c r="E10" s="420"/>
      <c r="F10" s="245"/>
      <c r="G10" s="357"/>
      <c r="H10" s="246" t="s">
        <v>912</v>
      </c>
      <c r="I10" s="247">
        <f>IFERROR(IF(AND(teacher_type="R",career_stage="P"),COUNTIF(RPI[Selected],TRUE),
IF(AND(teacher_type="R",career_stage="HP"),COUNTIF(RHPI[Selected],TRUE),
IF(AND(teacher_type="TB",career_stage="P"),COUNTIF(TBPI[Selected],TRUE),
IF(AND(teacher_type="TB",career_stage="HP"),COUNTIF(TBHPI[Selected],TRUE))))),0)</f>
        <v>15</v>
      </c>
      <c r="J10" s="420"/>
      <c r="K10" s="420"/>
      <c r="L10" s="420"/>
      <c r="M10" s="420"/>
      <c r="N10" s="420"/>
      <c r="O10" s="420"/>
      <c r="P10" s="420"/>
      <c r="Q10" s="420"/>
    </row>
    <row r="11" spans="1:17" ht="18.95" customHeight="1" thickBot="1" x14ac:dyDescent="0.35">
      <c r="A11" s="418"/>
      <c r="B11" s="418"/>
      <c r="C11" s="419"/>
      <c r="D11" s="418"/>
      <c r="E11" s="420"/>
      <c r="F11" s="420"/>
      <c r="G11" s="357"/>
      <c r="H11" s="243" t="s">
        <v>913</v>
      </c>
      <c r="I11" s="394" t="str">
        <f>meta_office_version</f>
        <v>Not supported or Macro is disabled</v>
      </c>
      <c r="J11" s="420"/>
      <c r="K11" s="420"/>
      <c r="L11" s="420"/>
      <c r="M11" s="420"/>
      <c r="N11" s="420"/>
      <c r="O11" s="420"/>
      <c r="P11" s="420"/>
      <c r="Q11" s="420"/>
    </row>
    <row r="12" spans="1:17" ht="21" customHeight="1" x14ac:dyDescent="0.25">
      <c r="A12" s="422" t="s">
        <v>914</v>
      </c>
      <c r="B12" s="419" t="s">
        <v>915</v>
      </c>
      <c r="C12" s="419" t="s">
        <v>916</v>
      </c>
      <c r="D12" s="419" t="s">
        <v>917</v>
      </c>
      <c r="E12" s="420"/>
      <c r="F12" s="356" t="s">
        <v>918</v>
      </c>
      <c r="G12" s="342"/>
      <c r="H12" s="504" t="s">
        <v>919</v>
      </c>
      <c r="I12" s="505"/>
      <c r="J12" s="250" t="s">
        <v>797</v>
      </c>
      <c r="K12" s="251" t="s">
        <v>887</v>
      </c>
      <c r="L12" s="420"/>
      <c r="M12" s="420"/>
      <c r="N12" s="420"/>
      <c r="O12" s="420"/>
      <c r="P12" s="420"/>
      <c r="Q12" s="420"/>
    </row>
    <row r="13" spans="1:17" ht="50.1" customHeight="1" x14ac:dyDescent="0.25">
      <c r="A13" s="418">
        <v>1</v>
      </c>
      <c r="B13" s="418" t="b">
        <f>'Encoding Part 1'!G22</f>
        <v>1</v>
      </c>
      <c r="C13" s="419">
        <f>'Encoding Part 1'!E22</f>
        <v>1</v>
      </c>
      <c r="D13" s="418" t="b">
        <f>'Encoding Part 1'!F22</f>
        <v>1</v>
      </c>
      <c r="E13" s="420"/>
      <c r="F13" s="351" t="str">
        <f>IFERROR(IF($D13,IF($C13="Plus Factor",$C13,$C13&amp;". "&amp;INDEX(Domains[Domain],MATCH($C13,Domains[Domain_code]),1)),""),"")</f>
        <v>1. Content Knowledge and Pedagogy</v>
      </c>
      <c r="G13" s="332">
        <f>'PART 3'!I12</f>
        <v>1</v>
      </c>
      <c r="H13" s="355" t="str">
        <f>'Encoding Part 1'!O22</f>
        <v>1.1.2</v>
      </c>
      <c r="I13" s="423" t="str">
        <f>IFERROR(IF($B13,IF(AND(career_stage="P",teacher_type="R"),INDEX(RPI[PPST Indicators],MATCH($H13,RPI[Strand],0),1),
IF(AND(career_stage="HP",teacher_type="R"),INDEX(RHPI[PPST Indicators],MATCH($H13,RHPI[Strand],0),1),
IF(AND(career_stage="P",teacher_type="TB"),INDEX(TBPI[PPST Indicators],MATCH($H13,TBPI[Strand],0),1),
IF(AND(career_stage="HP",teacher_type="TB"),INDEX(TBHPI[PPST Indicators],MATCH($H13,TBHPI[Strand],0),1))))) &amp; IF(LOWER(TRIM(C13))="plus factor",""," (PPST "&amp;$H13&amp;")"),""),"")</f>
        <v>Applied knowledge of content within and across curriculum teaching areas (PPST 1.1.2)</v>
      </c>
      <c r="J13" s="424" t="str">
        <f>'Encoding Part 1'!C22</f>
        <v>COI</v>
      </c>
      <c r="K13" s="425">
        <f>'Encoding Part 1'!Q22</f>
        <v>7.0000000000000007E-2</v>
      </c>
      <c r="L13" s="420"/>
      <c r="M13" s="420"/>
      <c r="N13" s="420"/>
      <c r="O13" s="420"/>
      <c r="P13" s="420"/>
      <c r="Q13" s="420"/>
    </row>
    <row r="14" spans="1:17" hidden="1" x14ac:dyDescent="0.25">
      <c r="A14" s="418">
        <v>2</v>
      </c>
      <c r="B14" s="418" t="b">
        <f>'Encoding Part 1'!G23</f>
        <v>0</v>
      </c>
      <c r="C14" s="419">
        <f>'Encoding Part 1'!E23</f>
        <v>1</v>
      </c>
      <c r="D14" s="418" t="b">
        <f>'Encoding Part 1'!F23</f>
        <v>0</v>
      </c>
      <c r="E14" s="420"/>
      <c r="F14" s="351" t="str">
        <f>IFERROR(IF($D14,IF($C14="Plus Factor",$C14,$C14&amp;". "&amp;INDEX(Domains[Domain],MATCH($C14,Domains[Domain_code]),1)),""),"")</f>
        <v/>
      </c>
      <c r="G14" s="332">
        <f>'PART 3'!I13</f>
        <v>1</v>
      </c>
      <c r="H14" s="353" t="str">
        <f>'Encoding Part 1'!O23</f>
        <v>1.2.2</v>
      </c>
      <c r="I14" s="426" t="str">
        <f>IFERROR(IF($B14,IF(AND(career_stage="P",teacher_type="R"),INDEX(RPI[PPST Indicators],MATCH($H14,RPI[Strand],0),1),
IF(AND(career_stage="HP",teacher_type="R"),INDEX(RHPI[PPST Indicators],MATCH($H14,RHPI[Strand],0),1),
IF(AND(career_stage="P",teacher_type="TB"),INDEX(TBPI[PPST Indicators],MATCH($H14,TBPI[Strand],0),1),
IF(AND(career_stage="HP",teacher_type="TB"),INDEX(TBHPI[PPST Indicators],MATCH($H14,TBHPI[Strand],0),1))))) &amp; IF(LOWER(TRIM(C14))="plus factor",""," (PPST "&amp;$H14&amp;")"),""),"")</f>
        <v/>
      </c>
      <c r="J14" s="427" t="str">
        <f>'Encoding Part 1'!C23</f>
        <v>NCOI</v>
      </c>
      <c r="K14" s="428">
        <f>'Encoding Part 1'!Q23</f>
        <v>0</v>
      </c>
      <c r="L14" s="420"/>
      <c r="M14" s="420"/>
      <c r="N14" s="420"/>
      <c r="O14" s="420"/>
      <c r="P14" s="420"/>
      <c r="Q14" s="420"/>
    </row>
    <row r="15" spans="1:17" hidden="1" x14ac:dyDescent="0.25">
      <c r="A15" s="418">
        <v>3</v>
      </c>
      <c r="B15" s="418" t="b">
        <f>'Encoding Part 1'!G24</f>
        <v>0</v>
      </c>
      <c r="C15" s="419">
        <f>'Encoding Part 1'!E24</f>
        <v>1</v>
      </c>
      <c r="D15" s="418" t="b">
        <f>'Encoding Part 1'!F24</f>
        <v>0</v>
      </c>
      <c r="E15" s="420"/>
      <c r="F15" s="351" t="str">
        <f>IFERROR(IF($D15,IF($C15="Plus Factor",$C15,$C15&amp;". "&amp;INDEX(Domains[Domain],MATCH($C15,Domains[Domain_code]),1)),""),"")</f>
        <v/>
      </c>
      <c r="G15" s="332">
        <f>'PART 3'!I14</f>
        <v>1</v>
      </c>
      <c r="H15" s="353" t="str">
        <f>'Encoding Part 1'!O24</f>
        <v>1.3.2</v>
      </c>
      <c r="I15" s="426" t="str">
        <f>IFERROR(IF($B15,IF(AND(career_stage="P",teacher_type="R"),INDEX(RPI[PPST Indicators],MATCH($H15,RPI[Strand],0),1),
IF(AND(career_stage="HP",teacher_type="R"),INDEX(RHPI[PPST Indicators],MATCH($H15,RHPI[Strand],0),1),
IF(AND(career_stage="P",teacher_type="TB"),INDEX(TBPI[PPST Indicators],MATCH($H15,TBPI[Strand],0),1),
IF(AND(career_stage="HP",teacher_type="TB"),INDEX(TBHPI[PPST Indicators],MATCH($H15,TBHPI[Strand],0),1))))) &amp; IF(LOWER(TRIM(C15))="plus factor",""," (PPST "&amp;$H15&amp;")"),""),"")</f>
        <v/>
      </c>
      <c r="J15" s="427" t="str">
        <f>'Encoding Part 1'!C24</f>
        <v>NCOI</v>
      </c>
      <c r="K15" s="428">
        <f>'Encoding Part 1'!Q24</f>
        <v>0</v>
      </c>
      <c r="L15" s="420"/>
      <c r="M15" s="420"/>
      <c r="N15" s="420"/>
      <c r="O15" s="420"/>
      <c r="P15" s="420"/>
      <c r="Q15" s="420"/>
    </row>
    <row r="16" spans="1:17" ht="50.1" customHeight="1" x14ac:dyDescent="0.25">
      <c r="A16" s="418">
        <v>4</v>
      </c>
      <c r="B16" s="418" t="b">
        <f>'Encoding Part 1'!G25</f>
        <v>1</v>
      </c>
      <c r="C16" s="419">
        <f>'Encoding Part 1'!E25</f>
        <v>1</v>
      </c>
      <c r="D16" s="418" t="b">
        <f>'Encoding Part 1'!F25</f>
        <v>0</v>
      </c>
      <c r="E16" s="420"/>
      <c r="F16" s="351" t="str">
        <f>IFERROR(IF($D16,IF($C16="Plus Factor",$C16,$C16&amp;". "&amp;INDEX(Domains[Domain],MATCH($C16,Domains[Domain_code]),1)),""),"")</f>
        <v/>
      </c>
      <c r="G16" s="332">
        <f>'PART 3'!I15</f>
        <v>2</v>
      </c>
      <c r="H16" s="353" t="str">
        <f>'Encoding Part 1'!O25</f>
        <v>1.4.2</v>
      </c>
      <c r="I16" s="426" t="str">
        <f>IFERROR(IF($B16,IF(AND(career_stage="P",teacher_type="R"),INDEX(RPI[PPST Indicators],MATCH($H16,RPI[Strand],0),1),
IF(AND(career_stage="HP",teacher_type="R"),INDEX(RHPI[PPST Indicators],MATCH($H16,RHPI[Strand],0),1),
IF(AND(career_stage="P",teacher_type="TB"),INDEX(TBPI[PPST Indicators],MATCH($H16,TBPI[Strand],0),1),
IF(AND(career_stage="HP",teacher_type="TB"),INDEX(TBHPI[PPST Indicators],MATCH($H16,TBHPI[Strand],0),1))))) &amp; IF(LOWER(TRIM(C16))="plus factor",""," (PPST "&amp;$H16&amp;")"),""),"")</f>
        <v>Used a range of teaching strategies that enhance learner achievement in literacy and numeracy skills (PPST 1.4.2)</v>
      </c>
      <c r="J16" s="427" t="str">
        <f>'Encoding Part 1'!C25</f>
        <v>COI</v>
      </c>
      <c r="K16" s="428">
        <f>'Encoding Part 1'!Q25</f>
        <v>7.0000000000000007E-2</v>
      </c>
      <c r="L16" s="420"/>
      <c r="M16" s="420"/>
      <c r="N16" s="420"/>
      <c r="O16" s="420"/>
      <c r="P16" s="420"/>
      <c r="Q16" s="420"/>
    </row>
    <row r="17" spans="1:12" ht="50.1" customHeight="1" x14ac:dyDescent="0.25">
      <c r="A17" s="418">
        <v>5</v>
      </c>
      <c r="B17" s="418" t="b">
        <f>'Encoding Part 1'!G26</f>
        <v>1</v>
      </c>
      <c r="C17" s="419">
        <f>'Encoding Part 1'!E26</f>
        <v>1</v>
      </c>
      <c r="D17" s="418" t="b">
        <f>'Encoding Part 1'!F26</f>
        <v>0</v>
      </c>
      <c r="E17" s="420"/>
      <c r="F17" s="351" t="str">
        <f>IFERROR(IF($D17,IF($C17="Plus Factor",$C17,$C17&amp;". "&amp;INDEX(Domains[Domain],MATCH($C17,Domains[Domain_code]),1)),""),"")</f>
        <v/>
      </c>
      <c r="G17" s="332">
        <f>'PART 3'!I16</f>
        <v>3</v>
      </c>
      <c r="H17" s="353" t="str">
        <f>'Encoding Part 1'!O26</f>
        <v>1.5.2</v>
      </c>
      <c r="I17" s="426" t="str">
        <f>IFERROR(IF($B17,IF(AND(career_stage="P",teacher_type="R"),INDEX(RPI[PPST Indicators],MATCH($H17,RPI[Strand],0),1),
IF(AND(career_stage="HP",teacher_type="R"),INDEX(RHPI[PPST Indicators],MATCH($H17,RHPI[Strand],0),1),
IF(AND(career_stage="P",teacher_type="TB"),INDEX(TBPI[PPST Indicators],MATCH($H17,TBPI[Strand],0),1),
IF(AND(career_stage="HP",teacher_type="TB"),INDEX(TBHPI[PPST Indicators],MATCH($H17,TBHPI[Strand],0),1))))) &amp; IF(LOWER(TRIM(C17))="plus factor",""," (PPST "&amp;$H17&amp;")"),""),"")</f>
        <v>Applied a range of teaching strategies to develop critical and creative thinking, as well as other higher-order thinking skills (PPST 1.5.2)</v>
      </c>
      <c r="J17" s="427" t="str">
        <f>'Encoding Part 1'!C26</f>
        <v>COI</v>
      </c>
      <c r="K17" s="428">
        <f>'Encoding Part 1'!Q26</f>
        <v>7.0000000000000007E-2</v>
      </c>
      <c r="L17" s="420"/>
    </row>
    <row r="18" spans="1:12" ht="50.1" customHeight="1" x14ac:dyDescent="0.25">
      <c r="A18" s="418">
        <v>6</v>
      </c>
      <c r="B18" s="418" t="b">
        <f>'Encoding Part 1'!G27</f>
        <v>1</v>
      </c>
      <c r="C18" s="419">
        <f>'Encoding Part 1'!E27</f>
        <v>1</v>
      </c>
      <c r="D18" s="418" t="b">
        <f>'Encoding Part 1'!F27</f>
        <v>0</v>
      </c>
      <c r="E18" s="420"/>
      <c r="F18" s="351" t="str">
        <f>IFERROR(IF($D18,IF($C18="Plus Factor",$C18,$C18&amp;". "&amp;INDEX(Domains[Domain],MATCH($C18,Domains[Domain_code]),1)),""),"")</f>
        <v/>
      </c>
      <c r="G18" s="332">
        <f>'PART 3'!I17</f>
        <v>4</v>
      </c>
      <c r="H18" s="353" t="str">
        <f>'Encoding Part 1'!O27</f>
        <v>1.6.2</v>
      </c>
      <c r="I18" s="426" t="str">
        <f>IFERROR(IF($B18,IF(AND(career_stage="P",teacher_type="R"),INDEX(RPI[PPST Indicators],MATCH($H18,RPI[Strand],0),1),
IF(AND(career_stage="HP",teacher_type="R"),INDEX(RHPI[PPST Indicators],MATCH($H18,RHPI[Strand],0),1),
IF(AND(career_stage="P",teacher_type="TB"),INDEX(TBPI[PPST Indicators],MATCH($H18,TBPI[Strand],0),1),
IF(AND(career_stage="HP",teacher_type="TB"),INDEX(TBHPI[PPST Indicators],MATCH($H18,TBHPI[Strand],0),1))))) &amp; IF(LOWER(TRIM(C18))="plus factor",""," (PPST "&amp;$H18&amp;")"),""),"")</f>
        <v>Displayed proficient use of Mother Tongue, Filipino and English to facilitate teaching and learning (PPST 1.6.2)</v>
      </c>
      <c r="J18" s="427" t="str">
        <f>'Encoding Part 1'!C27</f>
        <v>COI</v>
      </c>
      <c r="K18" s="428">
        <f>'Encoding Part 1'!Q27</f>
        <v>7.0000000000000007E-2</v>
      </c>
      <c r="L18" s="420"/>
    </row>
    <row r="19" spans="1:12" hidden="1" x14ac:dyDescent="0.25">
      <c r="A19" s="418">
        <v>7</v>
      </c>
      <c r="B19" s="418" t="b">
        <f>'Encoding Part 1'!G28</f>
        <v>0</v>
      </c>
      <c r="C19" s="419">
        <f>'Encoding Part 1'!E28</f>
        <v>1</v>
      </c>
      <c r="D19" s="418" t="b">
        <f>'Encoding Part 1'!F28</f>
        <v>0</v>
      </c>
      <c r="E19" s="420"/>
      <c r="F19" s="351" t="str">
        <f>IFERROR(IF($D19,IF($C19="Plus Factor",$C19,$C19&amp;". "&amp;INDEX(Domains[Domain],MATCH($C19,Domains[Domain_code]),1)),""),"")</f>
        <v/>
      </c>
      <c r="G19" s="332">
        <f>'PART 3'!I18</f>
        <v>4</v>
      </c>
      <c r="H19" s="353" t="str">
        <f>'Encoding Part 1'!O28</f>
        <v>1.7.2</v>
      </c>
      <c r="I19" s="426" t="str">
        <f>IFERROR(IF($B19,IF(AND(career_stage="P",teacher_type="R"),INDEX(RPI[PPST Indicators],MATCH($H19,RPI[Strand],0),1),
IF(AND(career_stage="HP",teacher_type="R"),INDEX(RHPI[PPST Indicators],MATCH($H19,RHPI[Strand],0),1),
IF(AND(career_stage="P",teacher_type="TB"),INDEX(TBPI[PPST Indicators],MATCH($H19,TBPI[Strand],0),1),
IF(AND(career_stage="HP",teacher_type="TB"),INDEX(TBHPI[PPST Indicators],MATCH($H19,TBHPI[Strand],0),1))))) &amp; IF(LOWER(TRIM(C19))="plus factor",""," (PPST "&amp;$H19&amp;")"),""),"")</f>
        <v/>
      </c>
      <c r="J19" s="427" t="str">
        <f>'Encoding Part 1'!C28</f>
        <v>COI</v>
      </c>
      <c r="K19" s="428">
        <f>'Encoding Part 1'!Q28</f>
        <v>0</v>
      </c>
      <c r="L19" s="420"/>
    </row>
    <row r="20" spans="1:12" ht="63" x14ac:dyDescent="0.25">
      <c r="A20" s="418">
        <v>8</v>
      </c>
      <c r="B20" s="418" t="b">
        <f>'Encoding Part 1'!G29</f>
        <v>1</v>
      </c>
      <c r="C20" s="419">
        <f>'Encoding Part 1'!E29</f>
        <v>2</v>
      </c>
      <c r="D20" s="418" t="b">
        <f>'Encoding Part 1'!F29</f>
        <v>1</v>
      </c>
      <c r="E20" s="420"/>
      <c r="F20" s="351" t="str">
        <f>IFERROR(IF($D20,IF($C20="Plus Factor",$C20,$C20&amp;". "&amp;INDEX(Domains[Domain],MATCH($C20,Domains[Domain_code]),1)),""),"")</f>
        <v>2. Learning Environment &amp; Diversity of Learners</v>
      </c>
      <c r="G20" s="332">
        <f>'PART 3'!I19</f>
        <v>5</v>
      </c>
      <c r="H20" s="353" t="str">
        <f>'Encoding Part 1'!O29</f>
        <v>2.1.2</v>
      </c>
      <c r="I20" s="426" t="str">
        <f>IFERROR(IF($B20,IF(AND(career_stage="P",teacher_type="R"),INDEX(RPI[PPST Indicators],MATCH($H20,RPI[Strand],0),1),
IF(AND(career_stage="HP",teacher_type="R"),INDEX(RHPI[PPST Indicators],MATCH($H20,RHPI[Strand],0),1),
IF(AND(career_stage="P",teacher_type="TB"),INDEX(TBPI[PPST Indicators],MATCH($H20,TBPI[Strand],0),1),
IF(AND(career_stage="HP",teacher_type="TB"),INDEX(TBHPI[PPST Indicators],MATCH($H20,TBHPI[Strand],0),1))))) &amp; IF(LOWER(TRIM(C20))="plus factor",""," (PPST "&amp;$H20&amp;")"),""),"")</f>
        <v>Established safe and secure learning environments to enhance learning through the consistent implementation of policies, guidelines and procedures (PPST 2.1.2)</v>
      </c>
      <c r="J20" s="427" t="str">
        <f>'Encoding Part 1'!C29</f>
        <v>COI</v>
      </c>
      <c r="K20" s="428">
        <f>'Encoding Part 1'!Q29</f>
        <v>7.0000000000000007E-2</v>
      </c>
      <c r="L20" s="420"/>
    </row>
    <row r="21" spans="1:12" ht="50.1" customHeight="1" x14ac:dyDescent="0.25">
      <c r="A21" s="418">
        <v>9</v>
      </c>
      <c r="B21" s="418" t="b">
        <f>'Encoding Part 1'!G30</f>
        <v>1</v>
      </c>
      <c r="C21" s="419">
        <f>'Encoding Part 1'!E30</f>
        <v>2</v>
      </c>
      <c r="D21" s="418" t="b">
        <f>'Encoding Part 1'!F30</f>
        <v>0</v>
      </c>
      <c r="E21" s="420"/>
      <c r="F21" s="351" t="str">
        <f>IFERROR(IF($D21,IF($C21="Plus Factor",$C21,$C21&amp;". "&amp;INDEX(Domains[Domain],MATCH($C21,Domains[Domain_code]),1)),""),"")</f>
        <v/>
      </c>
      <c r="G21" s="332">
        <f>'PART 3'!I20</f>
        <v>6</v>
      </c>
      <c r="H21" s="353" t="str">
        <f>'Encoding Part 1'!O30</f>
        <v>2.2.2</v>
      </c>
      <c r="I21" s="426" t="str">
        <f>IFERROR(IF($B21,IF(AND(career_stage="P",teacher_type="R"),INDEX(RPI[PPST Indicators],MATCH($H21,RPI[Strand],0),1),
IF(AND(career_stage="HP",teacher_type="R"),INDEX(RHPI[PPST Indicators],MATCH($H21,RHPI[Strand],0),1),
IF(AND(career_stage="P",teacher_type="TB"),INDEX(TBPI[PPST Indicators],MATCH($H21,TBPI[Strand],0),1),
IF(AND(career_stage="HP",teacher_type="TB"),INDEX(TBHPI[PPST Indicators],MATCH($H21,TBHPI[Strand],0),1))))) &amp; IF(LOWER(TRIM(C21))="plus factor",""," (PPST "&amp;$H21&amp;")"),""),"")</f>
        <v>Maintained learning environments that promote fairness, respect and care to encourage learning (PPST 2.2.2)</v>
      </c>
      <c r="J21" s="427" t="str">
        <f>'Encoding Part 1'!C30</f>
        <v>COI</v>
      </c>
      <c r="K21" s="428">
        <f>'Encoding Part 1'!Q30</f>
        <v>7.0000000000000007E-2</v>
      </c>
      <c r="L21" s="420"/>
    </row>
    <row r="22" spans="1:12" hidden="1" x14ac:dyDescent="0.25">
      <c r="A22" s="418">
        <v>10</v>
      </c>
      <c r="B22" s="418" t="b">
        <f>'Encoding Part 1'!G31</f>
        <v>0</v>
      </c>
      <c r="C22" s="419">
        <f>'Encoding Part 1'!E31</f>
        <v>2</v>
      </c>
      <c r="D22" s="418" t="b">
        <f>'Encoding Part 1'!F31</f>
        <v>0</v>
      </c>
      <c r="E22" s="420"/>
      <c r="F22" s="351" t="str">
        <f>IFERROR(IF($D22,IF($C22="Plus Factor",$C22,$C22&amp;". "&amp;INDEX(Domains[Domain],MATCH($C22,Domains[Domain_code]),1)),""),"")</f>
        <v/>
      </c>
      <c r="G22" s="332">
        <f>'PART 3'!I21</f>
        <v>6</v>
      </c>
      <c r="H22" s="353" t="str">
        <f>'Encoding Part 1'!O31</f>
        <v>2.3.2</v>
      </c>
      <c r="I22" s="426" t="str">
        <f>IFERROR(IF($B22,IF(AND(career_stage="P",teacher_type="R"),INDEX(RPI[PPST Indicators],MATCH($H22,RPI[Strand],0),1),
IF(AND(career_stage="HP",teacher_type="R"),INDEX(RHPI[PPST Indicators],MATCH($H22,RHPI[Strand],0),1),
IF(AND(career_stage="P",teacher_type="TB"),INDEX(TBPI[PPST Indicators],MATCH($H22,TBPI[Strand],0),1),
IF(AND(career_stage="HP",teacher_type="TB"),INDEX(TBHPI[PPST Indicators],MATCH($H22,TBHPI[Strand],0),1))))) &amp; IF(LOWER(TRIM(C22))="plus factor",""," (PPST "&amp;$H22&amp;")"),""),"")</f>
        <v/>
      </c>
      <c r="J22" s="427" t="str">
        <f>'Encoding Part 1'!C31</f>
        <v>COI</v>
      </c>
      <c r="K22" s="428">
        <f>'Encoding Part 1'!Q31</f>
        <v>0</v>
      </c>
      <c r="L22" s="420"/>
    </row>
    <row r="23" spans="1:12" hidden="1" x14ac:dyDescent="0.25">
      <c r="A23" s="418">
        <v>11</v>
      </c>
      <c r="B23" s="418" t="b">
        <f>'Encoding Part 1'!G32</f>
        <v>0</v>
      </c>
      <c r="C23" s="419">
        <f>'Encoding Part 1'!E32</f>
        <v>2</v>
      </c>
      <c r="D23" s="418" t="b">
        <f>'Encoding Part 1'!F32</f>
        <v>0</v>
      </c>
      <c r="E23" s="420"/>
      <c r="F23" s="351" t="str">
        <f>IFERROR(IF($D23,IF($C23="Plus Factor",$C23,$C23&amp;". "&amp;INDEX(Domains[Domain],MATCH($C23,Domains[Domain_code]),1)),""),"")</f>
        <v/>
      </c>
      <c r="G23" s="332">
        <f>'PART 3'!I22</f>
        <v>6</v>
      </c>
      <c r="H23" s="353" t="str">
        <f>'Encoding Part 1'!O32</f>
        <v>2.4.2</v>
      </c>
      <c r="I23" s="426" t="str">
        <f>IFERROR(IF($B23,IF(AND(career_stage="P",teacher_type="R"),INDEX(RPI[PPST Indicators],MATCH($H23,RPI[Strand],0),1),
IF(AND(career_stage="HP",teacher_type="R"),INDEX(RHPI[PPST Indicators],MATCH($H23,RHPI[Strand],0),1),
IF(AND(career_stage="P",teacher_type="TB"),INDEX(TBPI[PPST Indicators],MATCH($H23,TBPI[Strand],0),1),
IF(AND(career_stage="HP",teacher_type="TB"),INDEX(TBHPI[PPST Indicators],MATCH($H23,TBHPI[Strand],0),1))))) &amp; IF(LOWER(TRIM(C23))="plus factor",""," (PPST "&amp;$H23&amp;")"),""),"")</f>
        <v/>
      </c>
      <c r="J23" s="427" t="str">
        <f>'Encoding Part 1'!C32</f>
        <v>COI/NCOI</v>
      </c>
      <c r="K23" s="428">
        <f>'Encoding Part 1'!Q32</f>
        <v>0</v>
      </c>
      <c r="L23" s="420"/>
    </row>
    <row r="24" spans="1:12" hidden="1" x14ac:dyDescent="0.25">
      <c r="A24" s="418">
        <v>12</v>
      </c>
      <c r="B24" s="418" t="b">
        <f>'Encoding Part 1'!G33</f>
        <v>0</v>
      </c>
      <c r="C24" s="419">
        <f>'Encoding Part 1'!E33</f>
        <v>2</v>
      </c>
      <c r="D24" s="418" t="b">
        <f>'Encoding Part 1'!F33</f>
        <v>0</v>
      </c>
      <c r="E24" s="420"/>
      <c r="F24" s="351" t="str">
        <f>IFERROR(IF($D24,IF($C24="Plus Factor",$C24,$C24&amp;". "&amp;INDEX(Domains[Domain],MATCH($C24,Domains[Domain_code]),1)),""),"")</f>
        <v/>
      </c>
      <c r="G24" s="332">
        <f>'PART 3'!I23</f>
        <v>6</v>
      </c>
      <c r="H24" s="353" t="str">
        <f>'Encoding Part 1'!O33</f>
        <v>2.5.2</v>
      </c>
      <c r="I24" s="426" t="str">
        <f>IFERROR(IF($B24,IF(AND(career_stage="P",teacher_type="R"),INDEX(RPI[PPST Indicators],MATCH($H24,RPI[Strand],0),1),
IF(AND(career_stage="HP",teacher_type="R"),INDEX(RHPI[PPST Indicators],MATCH($H24,RHPI[Strand],0),1),
IF(AND(career_stage="P",teacher_type="TB"),INDEX(TBPI[PPST Indicators],MATCH($H24,TBPI[Strand],0),1),
IF(AND(career_stage="HP",teacher_type="TB"),INDEX(TBHPI[PPST Indicators],MATCH($H24,TBHPI[Strand],0),1))))) &amp; IF(LOWER(TRIM(C24))="plus factor",""," (PPST "&amp;$H24&amp;")"),""),"")</f>
        <v/>
      </c>
      <c r="J24" s="427" t="str">
        <f>'Encoding Part 1'!C33</f>
        <v>COI/NCOI</v>
      </c>
      <c r="K24" s="428">
        <f>'Encoding Part 1'!Q33</f>
        <v>0</v>
      </c>
      <c r="L24" s="420"/>
    </row>
    <row r="25" spans="1:12" hidden="1" x14ac:dyDescent="0.25">
      <c r="A25" s="418">
        <v>13</v>
      </c>
      <c r="B25" s="418" t="b">
        <f>'Encoding Part 1'!G34</f>
        <v>0</v>
      </c>
      <c r="C25" s="419">
        <f>'Encoding Part 1'!E34</f>
        <v>2</v>
      </c>
      <c r="D25" s="418" t="b">
        <f>'Encoding Part 1'!F34</f>
        <v>0</v>
      </c>
      <c r="E25" s="420"/>
      <c r="F25" s="351" t="str">
        <f>IFERROR(IF($D25,IF($C25="Plus Factor",$C25,$C25&amp;". "&amp;INDEX(Domains[Domain],MATCH($C25,Domains[Domain_code]),1)),""),"")</f>
        <v/>
      </c>
      <c r="G25" s="332">
        <f>'PART 3'!I24</f>
        <v>6</v>
      </c>
      <c r="H25" s="353" t="str">
        <f>'Encoding Part 1'!O34</f>
        <v>2.6.2</v>
      </c>
      <c r="I25" s="426" t="str">
        <f>IFERROR(IF($B25,IF(AND(career_stage="P",teacher_type="R"),INDEX(RPI[PPST Indicators],MATCH($H25,RPI[Strand],0),1),
IF(AND(career_stage="HP",teacher_type="R"),INDEX(RHPI[PPST Indicators],MATCH($H25,RHPI[Strand],0),1),
IF(AND(career_stage="P",teacher_type="TB"),INDEX(TBPI[PPST Indicators],MATCH($H25,TBPI[Strand],0),1),
IF(AND(career_stage="HP",teacher_type="TB"),INDEX(TBHPI[PPST Indicators],MATCH($H25,TBHPI[Strand],0),1))))) &amp; IF(LOWER(TRIM(C25))="plus factor",""," (PPST "&amp;$H25&amp;")"),""),"")</f>
        <v/>
      </c>
      <c r="J25" s="427" t="str">
        <f>'Encoding Part 1'!C34</f>
        <v>COI</v>
      </c>
      <c r="K25" s="428">
        <f>'Encoding Part 1'!Q34</f>
        <v>0</v>
      </c>
      <c r="L25" s="420"/>
    </row>
    <row r="26" spans="1:12" hidden="1" x14ac:dyDescent="0.25">
      <c r="A26" s="418">
        <v>14</v>
      </c>
      <c r="B26" s="418" t="b">
        <f>'Encoding Part 1'!G35</f>
        <v>0</v>
      </c>
      <c r="C26" s="419">
        <f>'Encoding Part 1'!E35</f>
        <v>2</v>
      </c>
      <c r="D26" s="418" t="b">
        <f>'Encoding Part 1'!F35</f>
        <v>0</v>
      </c>
      <c r="E26" s="420"/>
      <c r="F26" s="351" t="str">
        <f>IFERROR(IF($D26,IF($C26="Plus Factor",$C26,$C26&amp;". "&amp;INDEX(Domains[Domain],MATCH($C26,Domains[Domain_code]),1)),""),"")</f>
        <v/>
      </c>
      <c r="G26" s="332">
        <f>'PART 3'!I25</f>
        <v>6</v>
      </c>
      <c r="H26" s="353" t="str">
        <f>'Encoding Part 1'!O35</f>
        <v>3.1.2</v>
      </c>
      <c r="I26" s="426" t="str">
        <f>IFERROR(IF($B26,IF(AND(career_stage="P",teacher_type="R"),INDEX(RPI[PPST Indicators],MATCH($H26,RPI[Strand],0),1),
IF(AND(career_stage="HP",teacher_type="R"),INDEX(RHPI[PPST Indicators],MATCH($H26,RHPI[Strand],0),1),
IF(AND(career_stage="P",teacher_type="TB"),INDEX(TBPI[PPST Indicators],MATCH($H26,TBPI[Strand],0),1),
IF(AND(career_stage="HP",teacher_type="TB"),INDEX(TBHPI[PPST Indicators],MATCH($H26,TBHPI[Strand],0),1))))) &amp; IF(LOWER(TRIM(C26))="plus factor",""," (PPST "&amp;$H26&amp;")"),""),"")</f>
        <v/>
      </c>
      <c r="J26" s="427" t="str">
        <f>'Encoding Part 1'!C35</f>
        <v>COI</v>
      </c>
      <c r="K26" s="428">
        <f>'Encoding Part 1'!Q35</f>
        <v>0</v>
      </c>
      <c r="L26" s="420"/>
    </row>
    <row r="27" spans="1:12" ht="50.1" customHeight="1" x14ac:dyDescent="0.25">
      <c r="A27" s="418">
        <v>15</v>
      </c>
      <c r="B27" s="418" t="b">
        <f>'Encoding Part 1'!G36</f>
        <v>1</v>
      </c>
      <c r="C27" s="419">
        <f>'Encoding Part 1'!E36</f>
        <v>2</v>
      </c>
      <c r="D27" s="418" t="b">
        <f>'Encoding Part 1'!F36</f>
        <v>0</v>
      </c>
      <c r="E27" s="420"/>
      <c r="F27" s="351" t="str">
        <f>IFERROR(IF($D27,IF($C27="Plus Factor",$C27,$C27&amp;". "&amp;INDEX(Domains[Domain],MATCH($C27,Domains[Domain_code]),1)),""),"")</f>
        <v/>
      </c>
      <c r="G27" s="332">
        <f>'PART 3'!I26</f>
        <v>7</v>
      </c>
      <c r="H27" s="353" t="str">
        <f>'Encoding Part 1'!O36</f>
        <v>3.2.2</v>
      </c>
      <c r="I27" s="426" t="str">
        <f>IFERROR(IF($B27,IF(AND(career_stage="P",teacher_type="R"),INDEX(RPI[PPST Indicators],MATCH($H27,RPI[Strand],0),1),
IF(AND(career_stage="HP",teacher_type="R"),INDEX(RHPI[PPST Indicators],MATCH($H27,RHPI[Strand],0),1),
IF(AND(career_stage="P",teacher_type="TB"),INDEX(TBPI[PPST Indicators],MATCH($H27,TBPI[Strand],0),1),
IF(AND(career_stage="HP",teacher_type="TB"),INDEX(TBHPI[PPST Indicators],MATCH($H27,TBHPI[Strand],0),1))))) &amp; IF(LOWER(TRIM(C27))="plus factor",""," (PPST "&amp;$H27&amp;")"),""),"")</f>
        <v>Established a learner- centered culture by using teaching strategies that respond to their linguistic, cultural, socioeconomic and religious backgrounds (PPST 3.2.2)</v>
      </c>
      <c r="J27" s="427" t="str">
        <f>'Encoding Part 1'!C36</f>
        <v>COI</v>
      </c>
      <c r="K27" s="428">
        <f>'Encoding Part 1'!Q36</f>
        <v>7.0000000000000007E-2</v>
      </c>
      <c r="L27" s="420"/>
    </row>
    <row r="28" spans="1:12" hidden="1" x14ac:dyDescent="0.25">
      <c r="A28" s="418">
        <v>16</v>
      </c>
      <c r="B28" s="418" t="b">
        <f>'Encoding Part 1'!G37</f>
        <v>0</v>
      </c>
      <c r="C28" s="419">
        <f>'Encoding Part 1'!E37</f>
        <v>2</v>
      </c>
      <c r="D28" s="418" t="b">
        <f>'Encoding Part 1'!F37</f>
        <v>0</v>
      </c>
      <c r="E28" s="420"/>
      <c r="F28" s="351" t="str">
        <f>IFERROR(IF($D28,IF($C28="Plus Factor",$C28,$C28&amp;". "&amp;INDEX(Domains[Domain],MATCH($C28,Domains[Domain_code]),1)),""),"")</f>
        <v/>
      </c>
      <c r="G28" s="332">
        <f>'PART 3'!I27</f>
        <v>7</v>
      </c>
      <c r="H28" s="353" t="str">
        <f>'Encoding Part 1'!O37</f>
        <v>3.3.2</v>
      </c>
      <c r="I28" s="426" t="str">
        <f>IFERROR(IF($B28,IF(AND(career_stage="P",teacher_type="R"),INDEX(RPI[PPST Indicators],MATCH($H28,RPI[Strand],0),1),
IF(AND(career_stage="HP",teacher_type="R"),INDEX(RHPI[PPST Indicators],MATCH($H28,RHPI[Strand],0),1),
IF(AND(career_stage="P",teacher_type="TB"),INDEX(TBPI[PPST Indicators],MATCH($H28,TBPI[Strand],0),1),
IF(AND(career_stage="HP",teacher_type="TB"),INDEX(TBHPI[PPST Indicators],MATCH($H28,TBHPI[Strand],0),1))))) &amp; IF(LOWER(TRIM(C28))="plus factor",""," (PPST "&amp;$H28&amp;")"),""),"")</f>
        <v/>
      </c>
      <c r="J28" s="427" t="str">
        <f>'Encoding Part 1'!C37</f>
        <v>COI/NCOI</v>
      </c>
      <c r="K28" s="428">
        <f>'Encoding Part 1'!Q37</f>
        <v>0</v>
      </c>
      <c r="L28" s="420"/>
    </row>
    <row r="29" spans="1:12" hidden="1" x14ac:dyDescent="0.25">
      <c r="A29" s="418">
        <v>17</v>
      </c>
      <c r="B29" s="418" t="b">
        <f>'Encoding Part 1'!G38</f>
        <v>0</v>
      </c>
      <c r="C29" s="419">
        <f>'Encoding Part 1'!E38</f>
        <v>2</v>
      </c>
      <c r="D29" s="418" t="b">
        <f>'Encoding Part 1'!F38</f>
        <v>0</v>
      </c>
      <c r="E29" s="420"/>
      <c r="F29" s="351" t="str">
        <f>IFERROR(IF($D29,IF($C29="Plus Factor",$C29,$C29&amp;". "&amp;INDEX(Domains[Domain],MATCH($C29,Domains[Domain_code]),1)),""),"")</f>
        <v/>
      </c>
      <c r="G29" s="332">
        <f>'PART 3'!I28</f>
        <v>7</v>
      </c>
      <c r="H29" s="353" t="str">
        <f>'Encoding Part 1'!O38</f>
        <v>3.4.2</v>
      </c>
      <c r="I29" s="426" t="str">
        <f>IFERROR(IF($B29,IF(AND(career_stage="P",teacher_type="R"),INDEX(RPI[PPST Indicators],MATCH($H29,RPI[Strand],0),1),
IF(AND(career_stage="HP",teacher_type="R"),INDEX(RHPI[PPST Indicators],MATCH($H29,RHPI[Strand],0),1),
IF(AND(career_stage="P",teacher_type="TB"),INDEX(TBPI[PPST Indicators],MATCH($H29,TBPI[Strand],0),1),
IF(AND(career_stage="HP",teacher_type="TB"),INDEX(TBHPI[PPST Indicators],MATCH($H29,TBHPI[Strand],0),1))))) &amp; IF(LOWER(TRIM(C29))="plus factor",""," (PPST "&amp;$H29&amp;")"),""),"")</f>
        <v/>
      </c>
      <c r="J29" s="427" t="str">
        <f>'Encoding Part 1'!C38</f>
        <v>COI</v>
      </c>
      <c r="K29" s="428">
        <f>'Encoding Part 1'!Q38</f>
        <v>0</v>
      </c>
      <c r="L29" s="420"/>
    </row>
    <row r="30" spans="1:12" ht="50.1" customHeight="1" x14ac:dyDescent="0.25">
      <c r="A30" s="418">
        <v>18</v>
      </c>
      <c r="B30" s="418" t="b">
        <f>'Encoding Part 1'!G39</f>
        <v>1</v>
      </c>
      <c r="C30" s="419">
        <f>'Encoding Part 1'!E39</f>
        <v>2</v>
      </c>
      <c r="D30" s="418" t="b">
        <f>'Encoding Part 1'!F39</f>
        <v>0</v>
      </c>
      <c r="E30" s="420"/>
      <c r="F30" s="351" t="str">
        <f>IFERROR(IF($D30,IF($C30="Plus Factor",$C30,$C30&amp;". "&amp;INDEX(Domains[Domain],MATCH($C30,Domains[Domain_code]),1)),""),"")</f>
        <v/>
      </c>
      <c r="G30" s="332">
        <f>'PART 3'!I29</f>
        <v>8</v>
      </c>
      <c r="H30" s="353" t="str">
        <f>'Encoding Part 1'!O39</f>
        <v>3.5.2</v>
      </c>
      <c r="I30" s="426" t="str">
        <f>IFERROR(IF($B30,IF(AND(career_stage="P",teacher_type="R"),INDEX(RPI[PPST Indicators],MATCH($H30,RPI[Strand],0),1),
IF(AND(career_stage="HP",teacher_type="R"),INDEX(RHPI[PPST Indicators],MATCH($H30,RHPI[Strand],0),1),
IF(AND(career_stage="P",teacher_type="TB"),INDEX(TBPI[PPST Indicators],MATCH($H30,TBPI[Strand],0),1),
IF(AND(career_stage="HP",teacher_type="TB"),INDEX(TBHPI[PPST Indicators],MATCH($H30,TBHPI[Strand],0),1))))) &amp; IF(LOWER(TRIM(C30))="plus factor",""," (PPST "&amp;$H30&amp;")"),""),"")</f>
        <v>Adapted and used culturally appropriate teaching strategies to address the needs of learners from indigenous groups (PPST 3.5.2)</v>
      </c>
      <c r="J30" s="427" t="str">
        <f>'Encoding Part 1'!C39</f>
        <v>COI</v>
      </c>
      <c r="K30" s="428">
        <f>'Encoding Part 1'!Q39</f>
        <v>7.0000000000000007E-2</v>
      </c>
      <c r="L30" s="420"/>
    </row>
    <row r="31" spans="1:12" hidden="1" x14ac:dyDescent="0.25">
      <c r="A31" s="418">
        <v>19</v>
      </c>
      <c r="B31" s="418" t="b">
        <f>'Encoding Part 1'!G40</f>
        <v>0</v>
      </c>
      <c r="C31" s="419">
        <f>'Encoding Part 1'!E40</f>
        <v>3</v>
      </c>
      <c r="D31" s="418" t="b">
        <f>'Encoding Part 1'!F40</f>
        <v>0</v>
      </c>
      <c r="E31" s="420"/>
      <c r="F31" s="351" t="str">
        <f>IFERROR(IF($D31,IF($C31="Plus Factor",$C31,$C31&amp;". "&amp;INDEX(Domains[Domain],MATCH($C31,Domains[Domain_code]),1)),""),"")</f>
        <v/>
      </c>
      <c r="G31" s="332">
        <f>'PART 3'!I30</f>
        <v>8</v>
      </c>
      <c r="H31" s="353" t="str">
        <f>'Encoding Part 1'!O40</f>
        <v>4.1.2</v>
      </c>
      <c r="I31" s="426" t="str">
        <f>IFERROR(IF($B31,IF(AND(career_stage="P",teacher_type="R"),INDEX(RPI[PPST Indicators],MATCH($H31,RPI[Strand],0),1),
IF(AND(career_stage="HP",teacher_type="R"),INDEX(RHPI[PPST Indicators],MATCH($H31,RHPI[Strand],0),1),
IF(AND(career_stage="P",teacher_type="TB"),INDEX(TBPI[PPST Indicators],MATCH($H31,TBPI[Strand],0),1),
IF(AND(career_stage="HP",teacher_type="TB"),INDEX(TBHPI[PPST Indicators],MATCH($H31,TBHPI[Strand],0),1))))) &amp; IF(LOWER(TRIM(C31))="plus factor",""," (PPST "&amp;$H31&amp;")"),""),"")</f>
        <v/>
      </c>
      <c r="J31" s="427" t="str">
        <f>'Encoding Part 1'!C40</f>
        <v>COI</v>
      </c>
      <c r="K31" s="428">
        <f>'Encoding Part 1'!Q40</f>
        <v>0</v>
      </c>
      <c r="L31" s="420"/>
    </row>
    <row r="32" spans="1:12" ht="63" x14ac:dyDescent="0.25">
      <c r="A32" s="418">
        <v>20</v>
      </c>
      <c r="B32" s="418" t="b">
        <f>'Encoding Part 1'!G41</f>
        <v>1</v>
      </c>
      <c r="C32" s="419">
        <f>'Encoding Part 1'!E41</f>
        <v>3</v>
      </c>
      <c r="D32" s="418" t="b">
        <f>'Encoding Part 1'!F41</f>
        <v>1</v>
      </c>
      <c r="E32" s="420"/>
      <c r="F32" s="351" t="str">
        <f>IFERROR(IF($D32,IF($C32="Plus Factor",$C32,$C32&amp;". "&amp;INDEX(Domains[Domain],MATCH($C32,Domains[Domain_code]),1)),""),"")</f>
        <v>3. Curriculum and Planning &amp; Assessment and Reporting</v>
      </c>
      <c r="G32" s="332">
        <f>'PART 3'!I31</f>
        <v>9</v>
      </c>
      <c r="H32" s="353" t="str">
        <f>'Encoding Part 1'!O41</f>
        <v>4.2.2</v>
      </c>
      <c r="I32" s="426" t="str">
        <f>IFERROR(IF($B32,IF(AND(career_stage="P",teacher_type="R"),INDEX(RPI[PPST Indicators],MATCH($H32,RPI[Strand],0),1),
IF(AND(career_stage="HP",teacher_type="R"),INDEX(RHPI[PPST Indicators],MATCH($H32,RHPI[Strand],0),1),
IF(AND(career_stage="P",teacher_type="TB"),INDEX(TBPI[PPST Indicators],MATCH($H32,TBPI[Strand],0),1),
IF(AND(career_stage="HP",teacher_type="TB"),INDEX(TBHPI[PPST Indicators],MATCH($H32,TBHPI[Strand],0),1))))) &amp; IF(LOWER(TRIM(C32))="plus factor",""," (PPST "&amp;$H32&amp;")"),""),"")</f>
        <v>Set achievable and appropriate learning outcomes that are aligned with learning competencies (PPST 4.2.2)</v>
      </c>
      <c r="J32" s="427" t="str">
        <f>'Encoding Part 1'!C41</f>
        <v>NCOI</v>
      </c>
      <c r="K32" s="428">
        <f>'Encoding Part 1'!Q41</f>
        <v>7.0000000000000007E-2</v>
      </c>
      <c r="L32" s="420"/>
    </row>
    <row r="33" spans="1:11" hidden="1" x14ac:dyDescent="0.25">
      <c r="A33" s="418">
        <v>21</v>
      </c>
      <c r="B33" s="418" t="b">
        <f>'Encoding Part 1'!G42</f>
        <v>0</v>
      </c>
      <c r="C33" s="419">
        <f>'Encoding Part 1'!E42</f>
        <v>3</v>
      </c>
      <c r="D33" s="418" t="b">
        <f>'Encoding Part 1'!F42</f>
        <v>0</v>
      </c>
      <c r="E33" s="420"/>
      <c r="F33" s="351" t="str">
        <f>IFERROR(IF($D33,IF($C33="Plus Factor",$C33,$C33&amp;". "&amp;INDEX(Domains[Domain],MATCH($C33,Domains[Domain_code]),1)),""),"")</f>
        <v/>
      </c>
      <c r="G33" s="332">
        <f>'PART 3'!I32</f>
        <v>9</v>
      </c>
      <c r="H33" s="353" t="str">
        <f>'Encoding Part 1'!O42</f>
        <v>4.3.2</v>
      </c>
      <c r="I33" s="426" t="str">
        <f>IFERROR(IF($B33,IF(AND(career_stage="P",teacher_type="R"),INDEX(RPI[PPST Indicators],MATCH($H33,RPI[Strand],0),1),
IF(AND(career_stage="HP",teacher_type="R"),INDEX(RHPI[PPST Indicators],MATCH($H33,RHPI[Strand],0),1),
IF(AND(career_stage="P",teacher_type="TB"),INDEX(TBPI[PPST Indicators],MATCH($H33,TBPI[Strand],0),1),
IF(AND(career_stage="HP",teacher_type="TB"),INDEX(TBHPI[PPST Indicators],MATCH($H33,TBHPI[Strand],0),1))))) &amp; IF(LOWER(TRIM(C33))="plus factor",""," (PPST "&amp;$H33&amp;")"),""),"")</f>
        <v/>
      </c>
      <c r="J33" s="427" t="str">
        <f>'Encoding Part 1'!C42</f>
        <v>NCOI</v>
      </c>
      <c r="K33" s="428">
        <f>'Encoding Part 1'!Q42</f>
        <v>0</v>
      </c>
    </row>
    <row r="34" spans="1:11" hidden="1" x14ac:dyDescent="0.25">
      <c r="A34" s="418">
        <v>22</v>
      </c>
      <c r="B34" s="418" t="b">
        <f>'Encoding Part 1'!G43</f>
        <v>0</v>
      </c>
      <c r="C34" s="419">
        <f>'Encoding Part 1'!E43</f>
        <v>3</v>
      </c>
      <c r="D34" s="418" t="b">
        <f>'Encoding Part 1'!F43</f>
        <v>0</v>
      </c>
      <c r="E34" s="420"/>
      <c r="F34" s="351" t="str">
        <f>IFERROR(IF($D34,IF($C34="Plus Factor",$C34,$C34&amp;". "&amp;INDEX(Domains[Domain],MATCH($C34,Domains[Domain_code]),1)),""),"")</f>
        <v/>
      </c>
      <c r="G34" s="332">
        <f>'PART 3'!I33</f>
        <v>9</v>
      </c>
      <c r="H34" s="353" t="str">
        <f>'Encoding Part 1'!O43</f>
        <v>4.4.2</v>
      </c>
      <c r="I34" s="426" t="str">
        <f>IFERROR(IF($B34,IF(AND(career_stage="P",teacher_type="R"),INDEX(RPI[PPST Indicators],MATCH($H34,RPI[Strand],0),1),
IF(AND(career_stage="HP",teacher_type="R"),INDEX(RHPI[PPST Indicators],MATCH($H34,RHPI[Strand],0),1),
IF(AND(career_stage="P",teacher_type="TB"),INDEX(TBPI[PPST Indicators],MATCH($H34,TBPI[Strand],0),1),
IF(AND(career_stage="HP",teacher_type="TB"),INDEX(TBHPI[PPST Indicators],MATCH($H34,TBHPI[Strand],0),1))))) &amp; IF(LOWER(TRIM(C34))="plus factor",""," (PPST "&amp;$H34&amp;")"),""),"")</f>
        <v/>
      </c>
      <c r="J34" s="427" t="str">
        <f>'Encoding Part 1'!C43</f>
        <v>NCOI</v>
      </c>
      <c r="K34" s="428">
        <f>'Encoding Part 1'!Q43</f>
        <v>0</v>
      </c>
    </row>
    <row r="35" spans="1:11" hidden="1" x14ac:dyDescent="0.25">
      <c r="A35" s="418">
        <v>23</v>
      </c>
      <c r="B35" s="418" t="b">
        <f>'Encoding Part 1'!G44</f>
        <v>0</v>
      </c>
      <c r="C35" s="419">
        <f>'Encoding Part 1'!E44</f>
        <v>3</v>
      </c>
      <c r="D35" s="418" t="b">
        <f>'Encoding Part 1'!F44</f>
        <v>0</v>
      </c>
      <c r="E35" s="420"/>
      <c r="F35" s="351" t="str">
        <f>IFERROR(IF($D35,IF($C35="Plus Factor",$C35,$C35&amp;". "&amp;INDEX(Domains[Domain],MATCH($C35,Domains[Domain_code]),1)),""),"")</f>
        <v/>
      </c>
      <c r="G35" s="332">
        <f>'PART 3'!I34</f>
        <v>9</v>
      </c>
      <c r="H35" s="353" t="str">
        <f>'Encoding Part 1'!O44</f>
        <v>4.5.2</v>
      </c>
      <c r="I35" s="426" t="str">
        <f>IFERROR(IF($B35,IF(AND(career_stage="P",teacher_type="R"),INDEX(RPI[PPST Indicators],MATCH($H35,RPI[Strand],0),1),
IF(AND(career_stage="HP",teacher_type="R"),INDEX(RHPI[PPST Indicators],MATCH($H35,RHPI[Strand],0),1),
IF(AND(career_stage="P",teacher_type="TB"),INDEX(TBPI[PPST Indicators],MATCH($H35,TBPI[Strand],0),1),
IF(AND(career_stage="HP",teacher_type="TB"),INDEX(TBHPI[PPST Indicators],MATCH($H35,TBHPI[Strand],0),1))))) &amp; IF(LOWER(TRIM(C35))="plus factor",""," (PPST "&amp;$H35&amp;")"),""),"")</f>
        <v/>
      </c>
      <c r="J35" s="427" t="str">
        <f>'Encoding Part 1'!C44</f>
        <v>COI</v>
      </c>
      <c r="K35" s="428">
        <f>'Encoding Part 1'!Q44</f>
        <v>0</v>
      </c>
    </row>
    <row r="36" spans="1:11" hidden="1" x14ac:dyDescent="0.25">
      <c r="A36" s="418">
        <v>24</v>
      </c>
      <c r="B36" s="418" t="b">
        <f>'Encoding Part 1'!G45</f>
        <v>0</v>
      </c>
      <c r="C36" s="419">
        <f>'Encoding Part 1'!E45</f>
        <v>4</v>
      </c>
      <c r="D36" s="418" t="b">
        <f>'Encoding Part 1'!F45</f>
        <v>0</v>
      </c>
      <c r="E36" s="420"/>
      <c r="F36" s="351" t="str">
        <f>IFERROR(IF($D36,IF($C36="Plus Factor",$C36,$C36&amp;". "&amp;INDEX(Domains[Domain],MATCH($C36,Domains[Domain_code]),1)),""),"")</f>
        <v/>
      </c>
      <c r="G36" s="332">
        <f>'PART 3'!I35</f>
        <v>9</v>
      </c>
      <c r="H36" s="353" t="str">
        <f>'Encoding Part 1'!O45</f>
        <v>5.1.2</v>
      </c>
      <c r="I36" s="426" t="str">
        <f>IFERROR(IF($B36,IF(AND(career_stage="P",teacher_type="R"),INDEX(RPI[PPST Indicators],MATCH($H36,RPI[Strand],0),1),
IF(AND(career_stage="HP",teacher_type="R"),INDEX(RHPI[PPST Indicators],MATCH($H36,RHPI[Strand],0),1),
IF(AND(career_stage="P",teacher_type="TB"),INDEX(TBPI[PPST Indicators],MATCH($H36,TBPI[Strand],0),1),
IF(AND(career_stage="HP",teacher_type="TB"),INDEX(TBHPI[PPST Indicators],MATCH($H36,TBHPI[Strand],0),1))))) &amp; IF(LOWER(TRIM(C36))="plus factor",""," (PPST "&amp;$H36&amp;")"),""),"")</f>
        <v/>
      </c>
      <c r="J36" s="427" t="str">
        <f>'Encoding Part 1'!C45</f>
        <v>COI</v>
      </c>
      <c r="K36" s="428">
        <f>'Encoding Part 1'!Q45</f>
        <v>0</v>
      </c>
    </row>
    <row r="37" spans="1:11" hidden="1" x14ac:dyDescent="0.25">
      <c r="A37" s="418">
        <v>25</v>
      </c>
      <c r="B37" s="418" t="b">
        <f>'Encoding Part 1'!G46</f>
        <v>0</v>
      </c>
      <c r="C37" s="419">
        <f>'Encoding Part 1'!E46</f>
        <v>4</v>
      </c>
      <c r="D37" s="418" t="b">
        <f>'Encoding Part 1'!F46</f>
        <v>0</v>
      </c>
      <c r="E37" s="420"/>
      <c r="F37" s="351" t="str">
        <f>IFERROR(IF($D37,IF($C37="Plus Factor",$C37,$C37&amp;". "&amp;INDEX(Domains[Domain],MATCH($C37,Domains[Domain_code]),1)),""),"")</f>
        <v/>
      </c>
      <c r="G37" s="332">
        <f>'PART 3'!I36</f>
        <v>9</v>
      </c>
      <c r="H37" s="353" t="str">
        <f>'Encoding Part 1'!O46</f>
        <v>5.2.2</v>
      </c>
      <c r="I37" s="426" t="str">
        <f>IFERROR(IF($B37,IF(AND(career_stage="P",teacher_type="R"),INDEX(RPI[PPST Indicators],MATCH($H37,RPI[Strand],0),1),
IF(AND(career_stage="HP",teacher_type="R"),INDEX(RHPI[PPST Indicators],MATCH($H37,RHPI[Strand],0),1),
IF(AND(career_stage="P",teacher_type="TB"),INDEX(TBPI[PPST Indicators],MATCH($H37,TBPI[Strand],0),1),
IF(AND(career_stage="HP",teacher_type="TB"),INDEX(TBHPI[PPST Indicators],MATCH($H37,TBHPI[Strand],0),1))))) &amp; IF(LOWER(TRIM(C37))="plus factor",""," (PPST "&amp;$H37&amp;")"),""),"")</f>
        <v/>
      </c>
      <c r="J37" s="427" t="str">
        <f>'Encoding Part 1'!C46</f>
        <v>NCOI</v>
      </c>
      <c r="K37" s="428">
        <f>'Encoding Part 1'!Q46</f>
        <v>0</v>
      </c>
    </row>
    <row r="38" spans="1:11" ht="50.1" customHeight="1" x14ac:dyDescent="0.25">
      <c r="A38" s="418">
        <v>26</v>
      </c>
      <c r="B38" s="418" t="b">
        <f>'Encoding Part 1'!G47</f>
        <v>1</v>
      </c>
      <c r="C38" s="419">
        <f>'Encoding Part 1'!E47</f>
        <v>3</v>
      </c>
      <c r="D38" s="418" t="b">
        <f>'Encoding Part 1'!F47</f>
        <v>0</v>
      </c>
      <c r="E38" s="420"/>
      <c r="F38" s="351" t="str">
        <f>IFERROR(IF($D38,IF($C38="Plus Factor",$C38,$C38&amp;". "&amp;INDEX(Domains[Domain],MATCH($C38,Domains[Domain_code]),1)),""),"")</f>
        <v/>
      </c>
      <c r="G38" s="332">
        <f>'PART 3'!I37</f>
        <v>10</v>
      </c>
      <c r="H38" s="353" t="str">
        <f>'Encoding Part 1'!O47</f>
        <v>5.3.2</v>
      </c>
      <c r="I38" s="426" t="str">
        <f>IFERROR(IF($B38,IF(AND(career_stage="P",teacher_type="R"),INDEX(RPI[PPST Indicators],MATCH($H38,RPI[Strand],0),1),
IF(AND(career_stage="HP",teacher_type="R"),INDEX(RHPI[PPST Indicators],MATCH($H38,RHPI[Strand],0),1),
IF(AND(career_stage="P",teacher_type="TB"),INDEX(TBPI[PPST Indicators],MATCH($H38,TBPI[Strand],0),1),
IF(AND(career_stage="HP",teacher_type="TB"),INDEX(TBHPI[PPST Indicators],MATCH($H38,TBHPI[Strand],0),1))))) &amp; IF(LOWER(TRIM(C38))="plus factor",""," (PPST "&amp;$H38&amp;")"),""),"")</f>
        <v>Used strategies for providing timely, accurate and constructive feedback to improve learner performance (PPST 5.3.2)</v>
      </c>
      <c r="J38" s="427" t="str">
        <f>'Encoding Part 1'!C47</f>
        <v>COI</v>
      </c>
      <c r="K38" s="428">
        <f>'Encoding Part 1'!Q47</f>
        <v>7.0000000000000007E-2</v>
      </c>
    </row>
    <row r="39" spans="1:11" hidden="1" x14ac:dyDescent="0.25">
      <c r="A39" s="418">
        <v>27</v>
      </c>
      <c r="B39" s="418" t="b">
        <f>'Encoding Part 1'!G48</f>
        <v>0</v>
      </c>
      <c r="C39" s="419">
        <f>'Encoding Part 1'!E48</f>
        <v>4</v>
      </c>
      <c r="D39" s="418" t="b">
        <f>'Encoding Part 1'!F48</f>
        <v>0</v>
      </c>
      <c r="E39" s="420"/>
      <c r="F39" s="351" t="str">
        <f>IFERROR(IF($D39,IF($C39="Plus Factor",$C39,$C39&amp;". "&amp;INDEX(Domains[Domain],MATCH($C39,Domains[Domain_code]),1)),""),"")</f>
        <v/>
      </c>
      <c r="G39" s="332">
        <f>'PART 3'!I38</f>
        <v>10</v>
      </c>
      <c r="H39" s="353" t="str">
        <f>'Encoding Part 1'!O48</f>
        <v>5.4.2</v>
      </c>
      <c r="I39" s="426" t="str">
        <f>IFERROR(IF($B39,IF(AND(career_stage="P",teacher_type="R"),INDEX(RPI[PPST Indicators],MATCH($H39,RPI[Strand],0),1),
IF(AND(career_stage="HP",teacher_type="R"),INDEX(RHPI[PPST Indicators],MATCH($H39,RHPI[Strand],0),1),
IF(AND(career_stage="P",teacher_type="TB"),INDEX(TBPI[PPST Indicators],MATCH($H39,TBPI[Strand],0),1),
IF(AND(career_stage="HP",teacher_type="TB"),INDEX(TBHPI[PPST Indicators],MATCH($H39,TBHPI[Strand],0),1))))) &amp; IF(LOWER(TRIM(C39))="plus factor",""," (PPST "&amp;$H39&amp;")"),""),"")</f>
        <v/>
      </c>
      <c r="J39" s="427" t="str">
        <f>'Encoding Part 1'!C48</f>
        <v>NCOI</v>
      </c>
      <c r="K39" s="428">
        <f>'Encoding Part 1'!Q48</f>
        <v>0</v>
      </c>
    </row>
    <row r="40" spans="1:11" ht="50.1" customHeight="1" x14ac:dyDescent="0.25">
      <c r="A40" s="418">
        <v>28</v>
      </c>
      <c r="B40" s="418" t="b">
        <f>'Encoding Part 1'!G49</f>
        <v>1</v>
      </c>
      <c r="C40" s="419">
        <f>'Encoding Part 1'!E49</f>
        <v>3</v>
      </c>
      <c r="D40" s="418" t="b">
        <f>'Encoding Part 1'!F49</f>
        <v>0</v>
      </c>
      <c r="E40" s="420"/>
      <c r="F40" s="351" t="str">
        <f>IFERROR(IF($D40,IF($C40="Plus Factor",$C40,$C40&amp;". "&amp;INDEX(Domains[Domain],MATCH($C40,Domains[Domain_code]),1)),""),"")</f>
        <v/>
      </c>
      <c r="G40" s="332">
        <f>'PART 3'!I39</f>
        <v>11</v>
      </c>
      <c r="H40" s="353" t="str">
        <f>'Encoding Part 1'!O49</f>
        <v>5.5.2</v>
      </c>
      <c r="I40" s="426" t="str">
        <f>IFERROR(IF($B40,IF(AND(career_stage="P",teacher_type="R"),INDEX(RPI[PPST Indicators],MATCH($H40,RPI[Strand],0),1),
IF(AND(career_stage="HP",teacher_type="R"),INDEX(RHPI[PPST Indicators],MATCH($H40,RHPI[Strand],0),1),
IF(AND(career_stage="P",teacher_type="TB"),INDEX(TBPI[PPST Indicators],MATCH($H40,TBPI[Strand],0),1),
IF(AND(career_stage="HP",teacher_type="TB"),INDEX(TBHPI[PPST Indicators],MATCH($H40,TBHPI[Strand],0),1))))) &amp; IF(LOWER(TRIM(C40))="plus factor",""," (PPST "&amp;$H40&amp;")"),""),"")</f>
        <v>Utilized assessment data to inform the modification of teaching and learning practices and programs (PPST 5.5.2)</v>
      </c>
      <c r="J40" s="427" t="str">
        <f>'Encoding Part 1'!C49</f>
        <v>NCOI</v>
      </c>
      <c r="K40" s="428">
        <f>'Encoding Part 1'!Q49</f>
        <v>7.0000000000000007E-2</v>
      </c>
    </row>
    <row r="41" spans="1:11" hidden="1" x14ac:dyDescent="0.25">
      <c r="A41" s="418">
        <v>29</v>
      </c>
      <c r="B41" s="418" t="b">
        <f>'Encoding Part 1'!G50</f>
        <v>0</v>
      </c>
      <c r="C41" s="419">
        <f>'Encoding Part 1'!E50</f>
        <v>6</v>
      </c>
      <c r="D41" s="418" t="b">
        <f>'Encoding Part 1'!F50</f>
        <v>0</v>
      </c>
      <c r="E41" s="420"/>
      <c r="F41" s="351" t="str">
        <f>IFERROR(IF($D41,IF($C41="Plus Factor",$C41,$C41&amp;". "&amp;INDEX(Domains[Domain],MATCH($C41,Domains[Domain_code]),1)),""),"")</f>
        <v/>
      </c>
      <c r="G41" s="332">
        <f>'PART 3'!I40</f>
        <v>11</v>
      </c>
      <c r="H41" s="353" t="str">
        <f>'Encoding Part 1'!O50</f>
        <v>6.1.2</v>
      </c>
      <c r="I41" s="426" t="str">
        <f>IFERROR(IF($B41,IF(AND(career_stage="P",teacher_type="R"),INDEX(RPI[PPST Indicators],MATCH($H41,RPI[Strand],0),1),
IF(AND(career_stage="HP",teacher_type="R"),INDEX(RHPI[PPST Indicators],MATCH($H41,RHPI[Strand],0),1),
IF(AND(career_stage="P",teacher_type="TB"),INDEX(TBPI[PPST Indicators],MATCH($H41,TBPI[Strand],0),1),
IF(AND(career_stage="HP",teacher_type="TB"),INDEX(TBHPI[PPST Indicators],MATCH($H41,TBHPI[Strand],0),1))))) &amp; IF(LOWER(TRIM(C41))="plus factor",""," (PPST "&amp;$H41&amp;")"),""),"")</f>
        <v/>
      </c>
      <c r="J41" s="427" t="str">
        <f>'Encoding Part 1'!C50</f>
        <v>NCOI</v>
      </c>
      <c r="K41" s="428">
        <f>'Encoding Part 1'!Q50</f>
        <v>0</v>
      </c>
    </row>
    <row r="42" spans="1:11" ht="126" x14ac:dyDescent="0.25">
      <c r="A42" s="418">
        <v>30</v>
      </c>
      <c r="B42" s="418" t="b">
        <f>'Encoding Part 1'!G51</f>
        <v>1</v>
      </c>
      <c r="C42" s="419">
        <f>'Encoding Part 1'!E51</f>
        <v>4</v>
      </c>
      <c r="D42" s="418" t="b">
        <f>'Encoding Part 1'!F51</f>
        <v>1</v>
      </c>
      <c r="E42" s="420"/>
      <c r="F42" s="351" t="str">
        <f>IFERROR(IF($D42,IF($C42="Plus Factor",$C42,$C42&amp;". "&amp;INDEX(Domains[Domain],MATCH($C42,Domains[Domain_code]),1)),""),"")</f>
        <v>4. Community Linkages and Professional Engagement &amp; Personal 
Growth and Professional Development</v>
      </c>
      <c r="G42" s="332">
        <f>'PART 3'!I41</f>
        <v>12</v>
      </c>
      <c r="H42" s="353" t="str">
        <f>'Encoding Part 1'!O51</f>
        <v>6.2.2</v>
      </c>
      <c r="I42" s="426" t="str">
        <f>IFERROR(IF($B42,IF(AND(career_stage="P",teacher_type="R"),INDEX(RPI[PPST Indicators],MATCH($H42,RPI[Strand],0),1),
IF(AND(career_stage="HP",teacher_type="R"),INDEX(RHPI[PPST Indicators],MATCH($H42,RHPI[Strand],0),1),
IF(AND(career_stage="P",teacher_type="TB"),INDEX(TBPI[PPST Indicators],MATCH($H42,TBPI[Strand],0),1),
IF(AND(career_stage="HP",teacher_type="TB"),INDEX(TBHPI[PPST Indicators],MATCH($H42,TBHPI[Strand],0),1))))) &amp; IF(LOWER(TRIM(C42))="plus factor",""," (PPST "&amp;$H42&amp;")"),""),"")</f>
        <v>Built relationships with parents/ guardians and the wider school community to facilitate involvement in the educative process (PPST 6.2.2)</v>
      </c>
      <c r="J42" s="427" t="str">
        <f>'Encoding Part 1'!C51</f>
        <v>NCOI</v>
      </c>
      <c r="K42" s="428">
        <f>'Encoding Part 1'!Q51</f>
        <v>7.0000000000000007E-2</v>
      </c>
    </row>
    <row r="43" spans="1:11" hidden="1" x14ac:dyDescent="0.25">
      <c r="A43" s="418">
        <v>31</v>
      </c>
      <c r="B43" s="418" t="b">
        <f>'Encoding Part 1'!G52</f>
        <v>0</v>
      </c>
      <c r="C43" s="419">
        <f>'Encoding Part 1'!E52</f>
        <v>6</v>
      </c>
      <c r="D43" s="418" t="b">
        <f>'Encoding Part 1'!F52</f>
        <v>0</v>
      </c>
      <c r="E43" s="420"/>
      <c r="F43" s="351" t="str">
        <f>IFERROR(IF($D43,IF($C43="Plus Factor",$C43,$C43&amp;". "&amp;INDEX(Domains[Domain],MATCH($C43,Domains[Domain_code]),1)),""),"")</f>
        <v/>
      </c>
      <c r="G43" s="332">
        <f>'PART 3'!I42</f>
        <v>12</v>
      </c>
      <c r="H43" s="353" t="str">
        <f>'Encoding Part 1'!O52</f>
        <v>6.3.2</v>
      </c>
      <c r="I43" s="426" t="str">
        <f>IFERROR(IF($B43,IF(AND(career_stage="P",teacher_type="R"),INDEX(RPI[PPST Indicators],MATCH($H43,RPI[Strand],0),1),
IF(AND(career_stage="HP",teacher_type="R"),INDEX(RHPI[PPST Indicators],MATCH($H43,RHPI[Strand],0),1),
IF(AND(career_stage="P",teacher_type="TB"),INDEX(TBPI[PPST Indicators],MATCH($H43,TBPI[Strand],0),1),
IF(AND(career_stage="HP",teacher_type="TB"),INDEX(TBHPI[PPST Indicators],MATCH($H43,TBHPI[Strand],0),1))))) &amp; IF(LOWER(TRIM(C43))="plus factor",""," (PPST "&amp;$H43&amp;")"),""),"")</f>
        <v/>
      </c>
      <c r="J43" s="427" t="str">
        <f>'Encoding Part 1'!C52</f>
        <v>NCOI</v>
      </c>
      <c r="K43" s="428">
        <f>'Encoding Part 1'!Q52</f>
        <v>0</v>
      </c>
    </row>
    <row r="44" spans="1:11" hidden="1" x14ac:dyDescent="0.25">
      <c r="A44" s="418">
        <v>32</v>
      </c>
      <c r="B44" s="418" t="b">
        <f>'Encoding Part 1'!G53</f>
        <v>0</v>
      </c>
      <c r="C44" s="419">
        <f>'Encoding Part 1'!E53</f>
        <v>6</v>
      </c>
      <c r="D44" s="418" t="b">
        <f>'Encoding Part 1'!F53</f>
        <v>0</v>
      </c>
      <c r="E44" s="420"/>
      <c r="F44" s="351" t="str">
        <f>IFERROR(IF($D44,IF($C44="Plus Factor",$C44,$C44&amp;". "&amp;INDEX(Domains[Domain],MATCH($C44,Domains[Domain_code]),1)),""),"")</f>
        <v/>
      </c>
      <c r="G44" s="332">
        <f>'PART 3'!I43</f>
        <v>12</v>
      </c>
      <c r="H44" s="353" t="str">
        <f>'Encoding Part 1'!O53</f>
        <v>6.4.2</v>
      </c>
      <c r="I44" s="426" t="str">
        <f>IFERROR(IF($B44,IF(AND(career_stage="P",teacher_type="R"),INDEX(RPI[PPST Indicators],MATCH($H44,RPI[Strand],0),1),
IF(AND(career_stage="HP",teacher_type="R"),INDEX(RHPI[PPST Indicators],MATCH($H44,RHPI[Strand],0),1),
IF(AND(career_stage="P",teacher_type="TB"),INDEX(TBPI[PPST Indicators],MATCH($H44,TBPI[Strand],0),1),
IF(AND(career_stage="HP",teacher_type="TB"),INDEX(TBHPI[PPST Indicators],MATCH($H44,TBHPI[Strand],0),1))))) &amp; IF(LOWER(TRIM(C44))="plus factor",""," (PPST "&amp;$H44&amp;")"),""),"")</f>
        <v/>
      </c>
      <c r="J44" s="427" t="str">
        <f>'Encoding Part 1'!C53</f>
        <v>NCOI</v>
      </c>
      <c r="K44" s="428">
        <f>'Encoding Part 1'!Q53</f>
        <v>0</v>
      </c>
    </row>
    <row r="45" spans="1:11" hidden="1" x14ac:dyDescent="0.25">
      <c r="A45" s="418">
        <v>33</v>
      </c>
      <c r="B45" s="418" t="b">
        <f>'Encoding Part 1'!G54</f>
        <v>0</v>
      </c>
      <c r="C45" s="419">
        <f>'Encoding Part 1'!E54</f>
        <v>5</v>
      </c>
      <c r="D45" s="418" t="b">
        <f>'Encoding Part 1'!F54</f>
        <v>0</v>
      </c>
      <c r="E45" s="420"/>
      <c r="F45" s="351" t="str">
        <f>IFERROR(IF($D45,IF($C45="Plus Factor",$C45,$C45&amp;". "&amp;INDEX(Domains[Domain],MATCH($C45,Domains[Domain_code]),1)),""),"")</f>
        <v/>
      </c>
      <c r="G45" s="332">
        <f>'PART 3'!I44</f>
        <v>12</v>
      </c>
      <c r="H45" s="353" t="str">
        <f>'Encoding Part 1'!O54</f>
        <v>7.1.2</v>
      </c>
      <c r="I45" s="426" t="str">
        <f>IFERROR(IF($B45,IF(AND(career_stage="P",teacher_type="R"),INDEX(RPI[PPST Indicators],MATCH($H45,RPI[Strand],0),1),
IF(AND(career_stage="HP",teacher_type="R"),INDEX(RHPI[PPST Indicators],MATCH($H45,RHPI[Strand],0),1),
IF(AND(career_stage="P",teacher_type="TB"),INDEX(TBPI[PPST Indicators],MATCH($H45,TBPI[Strand],0),1),
IF(AND(career_stage="HP",teacher_type="TB"),INDEX(TBHPI[PPST Indicators],MATCH($H45,TBHPI[Strand],0),1))))) &amp; IF(LOWER(TRIM(C45))="plus factor",""," (PPST "&amp;$H45&amp;")"),""),"")</f>
        <v/>
      </c>
      <c r="J45" s="427" t="str">
        <f>'Encoding Part 1'!C54</f>
        <v>NCOI</v>
      </c>
      <c r="K45" s="428">
        <f>'Encoding Part 1'!Q54</f>
        <v>0</v>
      </c>
    </row>
    <row r="46" spans="1:11" hidden="1" x14ac:dyDescent="0.25">
      <c r="A46" s="418">
        <v>34</v>
      </c>
      <c r="B46" s="418" t="b">
        <f>'Encoding Part 1'!G55</f>
        <v>0</v>
      </c>
      <c r="C46" s="419">
        <f>'Encoding Part 1'!E55</f>
        <v>5</v>
      </c>
      <c r="D46" s="418" t="b">
        <f>'Encoding Part 1'!F55</f>
        <v>0</v>
      </c>
      <c r="E46" s="420"/>
      <c r="F46" s="351" t="str">
        <f>IFERROR(IF($D46,IF($C46="Plus Factor",$C46,$C46&amp;". "&amp;INDEX(Domains[Domain],MATCH($C46,Domains[Domain_code]),1)),""),"")</f>
        <v/>
      </c>
      <c r="G46" s="332">
        <f>'PART 3'!I45</f>
        <v>12</v>
      </c>
      <c r="H46" s="353" t="str">
        <f>'Encoding Part 1'!O55</f>
        <v>7.2.2</v>
      </c>
      <c r="I46" s="426" t="str">
        <f>IFERROR(IF($B46,IF(AND(career_stage="P",teacher_type="R"),INDEX(RPI[PPST Indicators],MATCH($H46,RPI[Strand],0),1),
IF(AND(career_stage="HP",teacher_type="R"),INDEX(RHPI[PPST Indicators],MATCH($H46,RHPI[Strand],0),1),
IF(AND(career_stage="P",teacher_type="TB"),INDEX(TBPI[PPST Indicators],MATCH($H46,TBPI[Strand],0),1),
IF(AND(career_stage="HP",teacher_type="TB"),INDEX(TBHPI[PPST Indicators],MATCH($H46,TBHPI[Strand],0),1))))) &amp; IF(LOWER(TRIM(C46))="plus factor",""," (PPST "&amp;$H46&amp;")"),""),"")</f>
        <v/>
      </c>
      <c r="J46" s="427" t="str">
        <f>'Encoding Part 1'!C55</f>
        <v>NCOI</v>
      </c>
      <c r="K46" s="428">
        <f>'Encoding Part 1'!Q55</f>
        <v>0</v>
      </c>
    </row>
    <row r="47" spans="1:11" ht="50.1" customHeight="1" x14ac:dyDescent="0.25">
      <c r="A47" s="418">
        <v>35</v>
      </c>
      <c r="B47" s="418" t="b">
        <f>'Encoding Part 1'!G56</f>
        <v>1</v>
      </c>
      <c r="C47" s="419">
        <f>'Encoding Part 1'!E56</f>
        <v>4</v>
      </c>
      <c r="D47" s="418" t="b">
        <f>'Encoding Part 1'!F56</f>
        <v>0</v>
      </c>
      <c r="E47" s="420"/>
      <c r="F47" s="351" t="str">
        <f>IFERROR(IF($D47,IF($C47="Plus Factor",$C47,$C47&amp;". "&amp;INDEX(Domains[Domain],MATCH($C47,Domains[Domain_code]),1)),""),"")</f>
        <v/>
      </c>
      <c r="G47" s="332">
        <f>'PART 3'!I46</f>
        <v>13</v>
      </c>
      <c r="H47" s="353" t="str">
        <f>'Encoding Part 1'!O56</f>
        <v>7.3.2</v>
      </c>
      <c r="I47" s="426" t="str">
        <f>IFERROR(IF($B47,IF(AND(career_stage="P",teacher_type="R"),INDEX(RPI[PPST Indicators],MATCH($H47,RPI[Strand],0),1),
IF(AND(career_stage="HP",teacher_type="R"),INDEX(RHPI[PPST Indicators],MATCH($H47,RHPI[Strand],0),1),
IF(AND(career_stage="P",teacher_type="TB"),INDEX(TBPI[PPST Indicators],MATCH($H47,TBPI[Strand],0),1),
IF(AND(career_stage="HP",teacher_type="TB"),INDEX(TBHPI[PPST Indicators],MATCH($H47,TBHPI[Strand],0),1))))) &amp; IF(LOWER(TRIM(C47))="plus factor",""," (PPST "&amp;$H47&amp;")"),""),"")</f>
        <v>Participated in professional networks to share knowledge and to enhance practice (PPST 7.3.2)</v>
      </c>
      <c r="J47" s="427" t="str">
        <f>'Encoding Part 1'!C56</f>
        <v>NCOI</v>
      </c>
      <c r="K47" s="428">
        <f>'Encoding Part 1'!Q56</f>
        <v>7.0000000000000007E-2</v>
      </c>
    </row>
    <row r="48" spans="1:11" ht="50.1" customHeight="1" x14ac:dyDescent="0.25">
      <c r="A48" s="418">
        <v>36</v>
      </c>
      <c r="B48" s="418" t="b">
        <f>'Encoding Part 1'!G57</f>
        <v>1</v>
      </c>
      <c r="C48" s="419">
        <f>'Encoding Part 1'!E57</f>
        <v>4</v>
      </c>
      <c r="D48" s="418" t="b">
        <f>'Encoding Part 1'!F57</f>
        <v>0</v>
      </c>
      <c r="E48" s="420"/>
      <c r="F48" s="351" t="str">
        <f>IFERROR(IF($D48,IF($C48="Plus Factor",$C48,$C48&amp;". "&amp;INDEX(Domains[Domain],MATCH($C48,Domains[Domain_code]),1)),""),"")</f>
        <v/>
      </c>
      <c r="G48" s="332">
        <f>'PART 3'!I47</f>
        <v>14</v>
      </c>
      <c r="H48" s="353" t="str">
        <f>'Encoding Part 1'!O57</f>
        <v>7.4.2</v>
      </c>
      <c r="I48" s="426" t="str">
        <f>IFERROR(IF($B48,IF(AND(career_stage="P",teacher_type="R"),INDEX(RPI[PPST Indicators],MATCH($H48,RPI[Strand],0),1),
IF(AND(career_stage="HP",teacher_type="R"),INDEX(RHPI[PPST Indicators],MATCH($H48,RHPI[Strand],0),1),
IF(AND(career_stage="P",teacher_type="TB"),INDEX(TBPI[PPST Indicators],MATCH($H48,TBPI[Strand],0),1),
IF(AND(career_stage="HP",teacher_type="TB"),INDEX(TBHPI[PPST Indicators],MATCH($H48,TBHPI[Strand],0),1))))) &amp; IF(LOWER(TRIM(C48))="plus factor",""," (PPST "&amp;$H48&amp;")"),""),"")</f>
        <v>Developed a personal improvement plan based on reflection of one’s practice and ongoing professional learning (PPST 7.4.2)</v>
      </c>
      <c r="J48" s="427" t="str">
        <f>'Encoding Part 1'!C57</f>
        <v>NCOI</v>
      </c>
      <c r="K48" s="428">
        <f>'Encoding Part 1'!Q57</f>
        <v>7.0000000000000007E-2</v>
      </c>
    </row>
    <row r="49" spans="1:11" hidden="1" x14ac:dyDescent="0.25">
      <c r="A49" s="418">
        <v>37</v>
      </c>
      <c r="B49" s="418" t="b">
        <f>'Encoding Part 1'!G58</f>
        <v>0</v>
      </c>
      <c r="C49" s="419">
        <f>'Encoding Part 1'!E58</f>
        <v>5</v>
      </c>
      <c r="D49" s="418" t="b">
        <f>'Encoding Part 1'!F58</f>
        <v>0</v>
      </c>
      <c r="E49" s="420"/>
      <c r="F49" s="351" t="str">
        <f>IFERROR(IF($D49,IF($C49="Plus Factor",$C49,$C49&amp;". "&amp;INDEX(Domains[Domain],MATCH($C49,Domains[Domain_code]),1)),""),"")</f>
        <v/>
      </c>
      <c r="G49" s="332">
        <f>'PART 3'!I48</f>
        <v>14</v>
      </c>
      <c r="H49" s="353" t="str">
        <f>'Encoding Part 1'!O58</f>
        <v>7.5.2</v>
      </c>
      <c r="I49" s="426" t="str">
        <f>IFERROR(IF($B49,IF(AND(career_stage="P",teacher_type="R"),INDEX(RPI[PPST Indicators],MATCH($H49,RPI[Strand],0),1),
IF(AND(career_stage="HP",teacher_type="R"),INDEX(RHPI[PPST Indicators],MATCH($H49,RHPI[Strand],0),1),
IF(AND(career_stage="P",teacher_type="TB"),INDEX(TBPI[PPST Indicators],MATCH($H49,TBPI[Strand],0),1),
IF(AND(career_stage="HP",teacher_type="TB"),INDEX(TBHPI[PPST Indicators],MATCH($H49,TBHPI[Strand],0),1))))) &amp; IF(LOWER(TRIM(C49))="plus factor",""," (PPST "&amp;$H49&amp;")"),""),"")</f>
        <v/>
      </c>
      <c r="J49" s="427" t="str">
        <f>'Encoding Part 1'!C58</f>
        <v>NCOI</v>
      </c>
      <c r="K49" s="428">
        <f>'Encoding Part 1'!Q58</f>
        <v>0</v>
      </c>
    </row>
    <row r="50" spans="1:11" ht="50.1" customHeight="1" thickBot="1" x14ac:dyDescent="0.3">
      <c r="A50" s="418">
        <v>38</v>
      </c>
      <c r="B50" s="418" t="b">
        <f>'Encoding Part 1'!G59</f>
        <v>1</v>
      </c>
      <c r="C50" s="419" t="str">
        <f>'Encoding Part 1'!E59</f>
        <v>Plus Factor</v>
      </c>
      <c r="D50" s="418" t="b">
        <f>'Encoding Part 1'!F59</f>
        <v>1</v>
      </c>
      <c r="E50" s="420"/>
      <c r="F50" s="351" t="str">
        <f>IFERROR(IF($D50,IF($C50="Plus Factor",$C50,$C50&amp;". "&amp;INDEX(Domains[Domain],MATCH($C50,Domains[Domain_code]),1)),""),"")</f>
        <v>Plus Factor</v>
      </c>
      <c r="G50" s="332">
        <f>'PART 3'!I49</f>
        <v>15</v>
      </c>
      <c r="H50" s="353">
        <f>'Encoding Part 1'!O59</f>
        <v>15</v>
      </c>
      <c r="I50" s="426" t="str">
        <f>IFERROR(IF($B50,IF(AND(career_stage="P",teacher_type="R"),INDEX(RPI[PPST Indicators],MATCH($H50,RPI[Strand],0),1),
IF(AND(career_stage="HP",teacher_type="R"),INDEX(RHPI[PPST Indicators],MATCH($H50,RHPI[Strand],0),1),
IF(AND(career_stage="P",teacher_type="TB"),INDEX(TBPI[PPST Indicators],MATCH($H50,TBPI[Strand],0),1),
IF(AND(career_stage="HP",teacher_type="TB"),INDEX(TBHPI[PPST Indicators],MATCH($H50,TBHPI[Strand],0),1))))) &amp; IF(LOWER(TRIM(C50))="plus factor",""," (PPST "&amp;$H50&amp;")"),""),"")</f>
        <v>Performed various related works/activities that contribute to the teaching learning process</v>
      </c>
      <c r="J50" s="427" t="str">
        <f>'Encoding Part 1'!C59</f>
        <v>NCOI</v>
      </c>
      <c r="K50" s="428">
        <f>'Encoding Part 1'!Q59</f>
        <v>0.02</v>
      </c>
    </row>
    <row r="51" spans="1:11" hidden="1" x14ac:dyDescent="0.25">
      <c r="A51" s="418">
        <v>39</v>
      </c>
      <c r="B51" s="418" t="b">
        <f>'Encoding Part 1'!G60</f>
        <v>0</v>
      </c>
      <c r="C51" s="419" t="str">
        <f>'Encoding Part 1'!E60</f>
        <v/>
      </c>
      <c r="D51" s="418" t="b">
        <f>'Encoding Part 1'!F60</f>
        <v>0</v>
      </c>
      <c r="E51" s="420"/>
      <c r="F51" s="351" t="str">
        <f>IFERROR(IF($D51,IF($C51="Plus Factor",$C51,$C51&amp;". "&amp;INDEX(Domains[Domain],MATCH($C51,Domains[Domain_code]),1)),""),"")</f>
        <v/>
      </c>
      <c r="G51" s="354">
        <f>'PART 3'!I50</f>
        <v>15</v>
      </c>
      <c r="H51" s="332" t="str">
        <f>'Encoding Part 1'!O60</f>
        <v/>
      </c>
      <c r="I51" s="426" t="str">
        <f>IFERROR(IF($B51,IF(AND(career_stage="P",teacher_type="R"),INDEX(RPI[PPST Indicators],MATCH($H51,RPI[Strand],0),1),
IF(AND(career_stage="HP",teacher_type="R"),INDEX(RHPI[PPST Indicators],MATCH($H51,RHPI[Strand],0),1),
IF(AND(career_stage="P",teacher_type="TB"),INDEX(TBPI[PPST Indicators],MATCH($H51,TBPI[Strand],0),1),
IF(AND(career_stage="HP",teacher_type="TB"),INDEX(TBHPI[PPST Indicators],MATCH($H51,TBHPI[Strand],0),1))))) &amp; IF(LOWER(TRIM(C51))="plus factor",""," (PPST "&amp;$H51&amp;")"),""),"")</f>
        <v/>
      </c>
      <c r="J51" s="427" t="str">
        <f>'Encoding Part 1'!C60</f>
        <v>NCOI</v>
      </c>
      <c r="K51" s="428">
        <f>'Encoding Part 1'!Q60</f>
        <v>0</v>
      </c>
    </row>
    <row r="52" spans="1:11" ht="16.5" hidden="1" thickBot="1" x14ac:dyDescent="0.3">
      <c r="A52" s="418">
        <v>40</v>
      </c>
      <c r="B52" s="418" t="b">
        <f>'Encoding Part 1'!G61</f>
        <v>0</v>
      </c>
      <c r="C52" s="419" t="str">
        <f>'Encoding Part 1'!E61</f>
        <v/>
      </c>
      <c r="D52" s="418" t="b">
        <f>'Encoding Part 1'!F61</f>
        <v>0</v>
      </c>
      <c r="E52" s="420"/>
      <c r="F52" s="352" t="str">
        <f>IFERROR(IF($D52,IF($C52="Plus Factor",$C52,$C52&amp;". "&amp;INDEX(Domains[Domain],MATCH($C52,Domains[Domain_code]),1)),""),"")</f>
        <v/>
      </c>
      <c r="G52" s="354">
        <f>'PART 3'!I51</f>
        <v>15</v>
      </c>
      <c r="H52" s="333" t="str">
        <f>'Encoding Part 1'!O61</f>
        <v/>
      </c>
      <c r="I52" s="429" t="str">
        <f>IFERROR(IF($B52,IF(AND(career_stage="P",teacher_type="R"),INDEX(RPI[PPST Indicators],MATCH($H52,RPI[Strand],0),1),
IF(AND(career_stage="HP",teacher_type="R"),INDEX(RHPI[PPST Indicators],MATCH($H52,RHPI[Strand],0),1),
IF(AND(career_stage="P",teacher_type="TB"),INDEX(TBPI[PPST Indicators],MATCH($H52,TBPI[Strand],0),1),
IF(AND(career_stage="HP",teacher_type="TB"),INDEX(TBHPI[PPST Indicators],MATCH($H52,TBHPI[Strand],0),1))))) &amp; IF(LOWER(TRIM(C52))="plus factor",""," (PPST "&amp;$H52&amp;")"),""),"")</f>
        <v/>
      </c>
      <c r="J52" s="430" t="str">
        <f>'Encoding Part 1'!C61</f>
        <v>NCOI</v>
      </c>
      <c r="K52" s="431">
        <f>'Encoding Part 1'!Q61</f>
        <v>0</v>
      </c>
    </row>
    <row r="53" spans="1:11" ht="20.100000000000001" customHeight="1" thickBot="1" x14ac:dyDescent="0.3">
      <c r="A53" s="418"/>
      <c r="B53" s="418"/>
      <c r="C53" s="419"/>
      <c r="D53" s="418"/>
      <c r="E53" s="420"/>
      <c r="F53" s="506"/>
      <c r="G53" s="507"/>
      <c r="H53" s="508"/>
      <c r="I53" s="508"/>
      <c r="J53" s="508"/>
      <c r="K53" s="244">
        <f>SUM(K13:K52)</f>
        <v>1.0000000000000004</v>
      </c>
    </row>
  </sheetData>
  <sheetProtection algorithmName="SHA-512" hashValue="bPn+5laBHSLTb98v5ieA4/uvIz9nkScFKUqAzkSQCJaVnKF62ChcDhRF+EAaNGf4fBvFTPjxpXWJFaK5ldBdUQ==" saltValue="qAr0r4MXjrXATPNhsr394w==" spinCount="100000" sheet="1" objects="1" scenarios="1" selectLockedCells="1"/>
  <mergeCells count="6">
    <mergeCell ref="H12:I12"/>
    <mergeCell ref="F53:J53"/>
    <mergeCell ref="E1:L1"/>
    <mergeCell ref="E2:L2"/>
    <mergeCell ref="E3:L3"/>
    <mergeCell ref="F5:K5"/>
  </mergeCells>
  <conditionalFormatting sqref="L5:XFD5 A1:XFD4 A5:F5 A6:XFD1048576">
    <cfRule type="expression" dxfId="202" priority="4">
      <formula>career_stage="HP"</formula>
    </cfRule>
    <cfRule type="expression" dxfId="201" priority="5">
      <formula>career_stage="P"</formula>
    </cfRule>
  </conditionalFormatting>
  <conditionalFormatting sqref="F13:F52">
    <cfRule type="expression" dxfId="200" priority="3">
      <formula>$D13</formula>
    </cfRule>
  </conditionalFormatting>
  <conditionalFormatting sqref="I9">
    <cfRule type="expression" dxfId="199" priority="1">
      <formula>AND(info_proceed_attempt,NOT(info_valid))</formula>
    </cfRule>
    <cfRule type="expression" dxfId="198" priority="2">
      <formula>TRUE</formula>
    </cfRule>
  </conditionalFormatting>
  <dataValidations count="2">
    <dataValidation type="list" allowBlank="1" showInputMessage="1" showErrorMessage="1" sqref="A1" xr:uid="{E5DE43B9-65AF-F94A-879E-F5B8490F0DE9}">
      <formula1>competency_level</formula1>
    </dataValidation>
    <dataValidation type="list" showInputMessage="1" showErrorMessage="1" sqref="I9" xr:uid="{C635B060-EFED-DC4F-A55F-B2966E5AAF86}">
      <formula1>competency_level</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Info_Sheet.InfoBack">
                <anchor moveWithCells="1" sizeWithCells="1">
                  <from>
                    <xdr:col>8</xdr:col>
                    <xdr:colOff>85725</xdr:colOff>
                    <xdr:row>54</xdr:row>
                    <xdr:rowOff>47625</xdr:rowOff>
                  </from>
                  <to>
                    <xdr:col>8</xdr:col>
                    <xdr:colOff>1228725</xdr:colOff>
                    <xdr:row>56</xdr:row>
                    <xdr:rowOff>114300</xdr:rowOff>
                  </to>
                </anchor>
              </controlPr>
            </control>
          </mc:Choice>
        </mc:AlternateContent>
        <mc:AlternateContent xmlns:mc="http://schemas.openxmlformats.org/markup-compatibility/2006">
          <mc:Choice Requires="x14">
            <control shapeId="17410" r:id="rId5" name="Button 2">
              <controlPr defaultSize="0" print="0" autoFill="0" autoPict="0" macro="[0]!Info_Sheet.InfoNext">
                <anchor moveWithCells="1" sizeWithCells="1">
                  <from>
                    <xdr:col>8</xdr:col>
                    <xdr:colOff>3171825</xdr:colOff>
                    <xdr:row>54</xdr:row>
                    <xdr:rowOff>47625</xdr:rowOff>
                  </from>
                  <to>
                    <xdr:col>8</xdr:col>
                    <xdr:colOff>4314825</xdr:colOff>
                    <xdr:row>56</xdr:row>
                    <xdr:rowOff>123825</xdr:rowOff>
                  </to>
                </anchor>
              </controlPr>
            </control>
          </mc:Choice>
        </mc:AlternateContent>
        <mc:AlternateContent xmlns:mc="http://schemas.openxmlformats.org/markup-compatibility/2006">
          <mc:Choice Requires="x14">
            <control shapeId="17411" r:id="rId6" name="Button 3">
              <controlPr defaultSize="0" print="0" autoFill="0" autoPict="0" macro="[0]!Info_Sheet.InfoBack">
                <anchor moveWithCells="1" sizeWithCells="1">
                  <from>
                    <xdr:col>8</xdr:col>
                    <xdr:colOff>3009900</xdr:colOff>
                    <xdr:row>5</xdr:row>
                    <xdr:rowOff>142875</xdr:rowOff>
                  </from>
                  <to>
                    <xdr:col>8</xdr:col>
                    <xdr:colOff>4152900</xdr:colOff>
                    <xdr:row>7</xdr:row>
                    <xdr:rowOff>161925</xdr:rowOff>
                  </to>
                </anchor>
              </controlPr>
            </control>
          </mc:Choice>
        </mc:AlternateContent>
        <mc:AlternateContent xmlns:mc="http://schemas.openxmlformats.org/markup-compatibility/2006">
          <mc:Choice Requires="x14">
            <control shapeId="17412" r:id="rId7" name="Button 4">
              <controlPr defaultSize="0" print="0" autoFill="0" autoPict="0" macro="[0]!Info_Sheet.InfoNext">
                <anchor moveWithCells="1" sizeWithCells="1">
                  <from>
                    <xdr:col>9</xdr:col>
                    <xdr:colOff>200025</xdr:colOff>
                    <xdr:row>5</xdr:row>
                    <xdr:rowOff>114300</xdr:rowOff>
                  </from>
                  <to>
                    <xdr:col>10</xdr:col>
                    <xdr:colOff>542925</xdr:colOff>
                    <xdr:row>7</xdr:row>
                    <xdr:rowOff>161925</xdr:rowOff>
                  </to>
                </anchor>
              </controlPr>
            </control>
          </mc:Choice>
        </mc:AlternateContent>
        <mc:AlternateContent xmlns:mc="http://schemas.openxmlformats.org/markup-compatibility/2006">
          <mc:Choice Requires="x14">
            <control shapeId="17419" r:id="rId8" name="Button 11">
              <controlPr defaultSize="0" print="0" autoFill="0" autoPict="0" macro="[0]!ForceFix">
                <anchor moveWithCells="1" sizeWithCells="1">
                  <from>
                    <xdr:col>8</xdr:col>
                    <xdr:colOff>1943100</xdr:colOff>
                    <xdr:row>61</xdr:row>
                    <xdr:rowOff>142875</xdr:rowOff>
                  </from>
                  <to>
                    <xdr:col>8</xdr:col>
                    <xdr:colOff>2543175</xdr:colOff>
                    <xdr:row>63</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41652-D079-416C-98AD-C6A96C1BDFF3}">
  <sheetPr codeName="Privacy"/>
  <dimension ref="A1:N3"/>
  <sheetViews>
    <sheetView showGridLines="0" topLeftCell="A7" zoomScale="90" zoomScaleNormal="90" workbookViewId="0">
      <selection activeCell="P18" sqref="P18"/>
    </sheetView>
  </sheetViews>
  <sheetFormatPr defaultColWidth="11.42578125" defaultRowHeight="15" x14ac:dyDescent="0.25"/>
  <sheetData>
    <row r="1" spans="1:14" ht="31.35" customHeight="1" x14ac:dyDescent="0.25">
      <c r="A1" s="512" t="str">
        <f>"OFFICIAL ELECTRONIC IPCRF TOOL v"&amp;meta!$B$3</f>
        <v>OFFICIAL ELECTRONIC IPCRF TOOL v4.3</v>
      </c>
      <c r="B1" s="513"/>
      <c r="C1" s="513"/>
      <c r="D1" s="513"/>
      <c r="E1" s="513"/>
      <c r="F1" s="513"/>
      <c r="G1" s="513"/>
      <c r="H1" s="513"/>
      <c r="I1" s="513"/>
      <c r="J1" s="513"/>
      <c r="K1" s="513"/>
      <c r="L1" s="513"/>
      <c r="M1" s="513"/>
      <c r="N1" s="513"/>
    </row>
    <row r="2" spans="1:14" ht="23.45" customHeight="1" x14ac:dyDescent="0.25">
      <c r="A2" s="514" t="str">
        <f>selected_career_stage &amp; " " &amp; selected_teacher_type</f>
        <v>Proficient Regular Teacher</v>
      </c>
      <c r="B2" s="515"/>
      <c r="C2" s="515"/>
      <c r="D2" s="515"/>
      <c r="E2" s="515"/>
      <c r="F2" s="515"/>
      <c r="G2" s="515"/>
      <c r="H2" s="515"/>
      <c r="I2" s="515"/>
      <c r="J2" s="515"/>
      <c r="K2" s="515"/>
      <c r="L2" s="515"/>
      <c r="M2" s="515"/>
      <c r="N2" s="515"/>
    </row>
    <row r="3" spans="1:14" ht="24.6" customHeight="1" x14ac:dyDescent="0.25">
      <c r="A3" s="514" t="str" cm="1">
        <f t="array" ref="A3">demographics[rating_period]</f>
        <v>SY 2023-2024</v>
      </c>
      <c r="B3" s="515"/>
      <c r="C3" s="515"/>
      <c r="D3" s="515"/>
      <c r="E3" s="515"/>
      <c r="F3" s="515"/>
      <c r="G3" s="515"/>
      <c r="H3" s="515"/>
      <c r="I3" s="515"/>
      <c r="J3" s="515"/>
      <c r="K3" s="515"/>
      <c r="L3" s="515"/>
      <c r="M3" s="515"/>
      <c r="N3" s="515"/>
    </row>
  </sheetData>
  <sheetProtection algorithmName="SHA-512" hashValue="FOwmUNnmA3k4YqmHAL7dqlSR8xVANonVZpmnXSJ1L8lvDB0OnQIM+zTdhXhzj0OD4q4TUWy7Din5gE126WN8Wg==" saltValue="+j0wx6ShzV7RFy5iJIwMOg==" spinCount="100000" sheet="1" objects="1" scenarios="1" selectLockedCells="1" selectUnlockedCells="1"/>
  <mergeCells count="3">
    <mergeCell ref="A1:N1"/>
    <mergeCell ref="A2:N2"/>
    <mergeCell ref="A3:N3"/>
  </mergeCells>
  <conditionalFormatting sqref="A1:XFD1048576">
    <cfRule type="expression" dxfId="197" priority="1">
      <formula>career_stage="HP"</formula>
    </cfRule>
    <cfRule type="expression" dxfId="196" priority="2">
      <formula>career_stage="P"</formula>
    </cfRule>
  </conditionalFormatting>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Privacy.PrivNext">
                <anchor moveWithCells="1" sizeWithCells="1">
                  <from>
                    <xdr:col>11</xdr:col>
                    <xdr:colOff>238125</xdr:colOff>
                    <xdr:row>22</xdr:row>
                    <xdr:rowOff>47625</xdr:rowOff>
                  </from>
                  <to>
                    <xdr:col>13</xdr:col>
                    <xdr:colOff>219075</xdr:colOff>
                    <xdr:row>26</xdr:row>
                    <xdr:rowOff>114300</xdr:rowOff>
                  </to>
                </anchor>
              </controlPr>
            </control>
          </mc:Choice>
        </mc:AlternateContent>
        <mc:AlternateContent xmlns:mc="http://schemas.openxmlformats.org/markup-compatibility/2006">
          <mc:Choice Requires="x14">
            <control shapeId="18434" r:id="rId5" name="BackToHome">
              <controlPr defaultSize="0" print="0" autoFill="0" autoPict="0" macro="[0]!Privacy.PrivBack">
                <anchor moveWithCells="1" sizeWithCells="1">
                  <from>
                    <xdr:col>0</xdr:col>
                    <xdr:colOff>523875</xdr:colOff>
                    <xdr:row>22</xdr:row>
                    <xdr:rowOff>76200</xdr:rowOff>
                  </from>
                  <to>
                    <xdr:col>3</xdr:col>
                    <xdr:colOff>180975</xdr:colOff>
                    <xdr:row>26</xdr:row>
                    <xdr:rowOff>142875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CCCF6-A4AF-44BE-80B1-45FFAD5F7C9C}">
  <sheetPr codeName="Demographic_Profile">
    <pageSetUpPr fitToPage="1"/>
  </sheetPr>
  <dimension ref="A1:X154"/>
  <sheetViews>
    <sheetView showGridLines="0" topLeftCell="F55" zoomScaleNormal="90" workbookViewId="0">
      <selection activeCell="R9" sqref="R9"/>
    </sheetView>
  </sheetViews>
  <sheetFormatPr defaultColWidth="8.85546875" defaultRowHeight="15.6" customHeight="1" x14ac:dyDescent="0.25"/>
  <cols>
    <col min="1" max="1" width="3" style="47" customWidth="1"/>
    <col min="2" max="2" width="3.42578125" style="47" customWidth="1"/>
    <col min="3" max="3" width="8.85546875" style="47" customWidth="1"/>
    <col min="4" max="4" width="3.7109375" style="47" customWidth="1"/>
    <col min="5" max="5" width="15.7109375" style="47" customWidth="1"/>
    <col min="6" max="6" width="7.85546875" style="47" customWidth="1"/>
    <col min="7" max="7" width="18.28515625" style="47" customWidth="1"/>
    <col min="8" max="8" width="3.85546875" style="47" customWidth="1"/>
    <col min="9" max="9" width="14.42578125" style="47" customWidth="1"/>
    <col min="10" max="10" width="3.140625" style="47" customWidth="1"/>
    <col min="11" max="11" width="5.85546875" style="47" customWidth="1"/>
    <col min="12" max="12" width="6.28515625" style="47" customWidth="1"/>
    <col min="13" max="13" width="9" style="47" customWidth="1"/>
    <col min="14" max="14" width="3.85546875" style="47" customWidth="1"/>
    <col min="15" max="15" width="32.7109375" style="47" customWidth="1"/>
    <col min="16" max="16" width="3.28515625" style="47" customWidth="1"/>
    <col min="17" max="17" width="31.85546875" style="47" customWidth="1"/>
    <col min="18" max="18" width="29" style="47" customWidth="1"/>
    <col min="19" max="19" width="3.140625" style="47" customWidth="1"/>
    <col min="20" max="20" width="8.85546875" style="47" customWidth="1"/>
    <col min="21" max="21" width="4.140625" style="47" hidden="1" customWidth="1"/>
    <col min="22" max="22" width="7.85546875" style="47" hidden="1" customWidth="1"/>
    <col min="23" max="23" width="18.7109375" style="47" hidden="1" customWidth="1"/>
    <col min="24" max="24" width="6.42578125" style="47" hidden="1" customWidth="1"/>
    <col min="25" max="25" width="8.85546875" style="47"/>
    <col min="26" max="26" width="5.28515625" style="47" customWidth="1"/>
    <col min="27" max="27" width="0.140625" style="47" customWidth="1"/>
    <col min="28" max="28" width="8.85546875" style="47" customWidth="1"/>
    <col min="29" max="16384" width="8.85546875" style="47"/>
  </cols>
  <sheetData>
    <row r="1" spans="1:24" s="61" customFormat="1" ht="31.35" customHeight="1" x14ac:dyDescent="0.25">
      <c r="A1" s="87"/>
      <c r="B1" s="544" t="str">
        <f>"Official Electronic IPCRF Tool v"&amp;meta!$B$3</f>
        <v>Official Electronic IPCRF Tool v4.3</v>
      </c>
      <c r="C1" s="544"/>
      <c r="D1" s="544"/>
      <c r="E1" s="544"/>
      <c r="F1" s="544"/>
      <c r="G1" s="544"/>
      <c r="H1" s="544"/>
      <c r="I1" s="544"/>
      <c r="J1" s="544"/>
      <c r="K1" s="544"/>
      <c r="L1" s="544"/>
      <c r="M1" s="544"/>
      <c r="N1" s="544"/>
      <c r="O1" s="544"/>
      <c r="P1" s="544"/>
      <c r="Q1" s="544"/>
      <c r="R1" s="544"/>
      <c r="S1" s="544"/>
      <c r="U1" s="47"/>
      <c r="V1" s="47"/>
    </row>
    <row r="2" spans="1:24" s="61" customFormat="1" ht="31.5" x14ac:dyDescent="0.25">
      <c r="A2" s="86"/>
      <c r="B2" s="544" t="str">
        <f>selected_career_stage &amp; " " &amp; selected_teacher_type</f>
        <v>Proficient Regular Teacher</v>
      </c>
      <c r="C2" s="544"/>
      <c r="D2" s="544"/>
      <c r="E2" s="544"/>
      <c r="F2" s="544"/>
      <c r="G2" s="544"/>
      <c r="H2" s="544"/>
      <c r="I2" s="544"/>
      <c r="J2" s="544"/>
      <c r="K2" s="544"/>
      <c r="L2" s="544"/>
      <c r="M2" s="544"/>
      <c r="N2" s="544"/>
      <c r="O2" s="544"/>
      <c r="P2" s="544"/>
      <c r="Q2" s="544"/>
      <c r="R2" s="544"/>
      <c r="S2" s="544"/>
      <c r="U2" s="47" t="s">
        <v>920</v>
      </c>
      <c r="V2" s="47"/>
      <c r="X2" s="47" t="s">
        <v>921</v>
      </c>
    </row>
    <row r="3" spans="1:24" ht="23.25" x14ac:dyDescent="0.25">
      <c r="A3" s="88"/>
      <c r="B3" s="545" t="str" cm="1">
        <f t="array" ref="B3">demographics[rating_period]</f>
        <v>SY 2023-2024</v>
      </c>
      <c r="C3" s="545"/>
      <c r="D3" s="545"/>
      <c r="E3" s="545"/>
      <c r="F3" s="545"/>
      <c r="G3" s="545"/>
      <c r="H3" s="545"/>
      <c r="I3" s="545"/>
      <c r="J3" s="545"/>
      <c r="K3" s="545"/>
      <c r="L3" s="545"/>
      <c r="M3" s="545"/>
      <c r="N3" s="545"/>
      <c r="O3" s="545"/>
      <c r="P3" s="545"/>
      <c r="Q3" s="545"/>
      <c r="R3" s="545"/>
      <c r="S3" s="545"/>
      <c r="U3" s="239" t="str" cm="1">
        <f t="array" aca="1" ref="U3" ca="1">CELL("address",F7)</f>
        <v>$F$7</v>
      </c>
      <c r="V3" s="239" t="b">
        <f t="shared" ref="V3:V13" ca="1" si="0">IFERROR(IF(X3=FALSE,FALSE,X3&gt;0),FALSE)</f>
        <v>1</v>
      </c>
      <c r="W3" s="239" t="s">
        <v>922</v>
      </c>
      <c r="X3" s="239">
        <f t="array" aca="1" ref="X3" ca="1">IFERROR(MATCH(TRUE,EXACT(INDIRECT(U3),INDIRECT(W3)),0),EXACT(INDIRECT(U3),INDIRECT(W3)))</f>
        <v>7</v>
      </c>
    </row>
    <row r="4" spans="1:24" ht="24.95" customHeight="1" x14ac:dyDescent="0.25">
      <c r="A4" s="62"/>
      <c r="B4" s="62"/>
      <c r="C4" s="62"/>
      <c r="D4" s="62"/>
      <c r="E4" s="62"/>
      <c r="F4" s="62"/>
      <c r="G4" s="62"/>
      <c r="H4" s="62"/>
      <c r="I4" s="62"/>
      <c r="J4" s="62"/>
      <c r="K4" s="62"/>
      <c r="L4" s="62"/>
      <c r="M4" s="62"/>
      <c r="N4" s="62"/>
      <c r="O4" s="62"/>
      <c r="P4" s="62"/>
      <c r="Q4" s="62"/>
      <c r="U4" s="239" t="str" cm="1">
        <f t="array" aca="1" ref="U4" ca="1">CELL("address",F8)</f>
        <v>$F$8</v>
      </c>
      <c r="V4" s="239" t="b">
        <f t="shared" ca="1" si="0"/>
        <v>1</v>
      </c>
      <c r="W4" s="239" t="str" cm="1">
        <f t="array" ref="W4">demographics[regionid]&amp;"_divlist"</f>
        <v>REG4A_divlist</v>
      </c>
      <c r="X4" s="239">
        <f t="array" aca="1" ref="X4" ca="1">IFERROR(MATCH(TRUE,EXACT(INDIRECT(U4),INDIRECT(W4)),0),EXACT(INDIRECT(U4),INDIRECT(W4)))</f>
        <v>1</v>
      </c>
    </row>
    <row r="5" spans="1:24" ht="23.25" x14ac:dyDescent="0.25">
      <c r="A5" s="62"/>
      <c r="B5" s="63" t="s">
        <v>923</v>
      </c>
      <c r="C5" s="62"/>
      <c r="D5" s="62"/>
      <c r="E5" s="62"/>
      <c r="F5" s="62"/>
      <c r="G5" s="62"/>
      <c r="H5" s="62"/>
      <c r="I5" s="62"/>
      <c r="J5" s="62"/>
      <c r="K5" s="63" t="s">
        <v>924</v>
      </c>
      <c r="L5" s="62"/>
      <c r="M5" s="62"/>
      <c r="N5" s="62"/>
      <c r="O5" s="62"/>
      <c r="P5" s="62"/>
      <c r="Q5" s="62"/>
      <c r="U5" s="239" t="str" cm="1">
        <f t="array" aca="1" ref="U5" ca="1">CELL("address",F12)</f>
        <v>$F$12</v>
      </c>
      <c r="V5" s="239" t="b">
        <f ca="1">IFERROR(IF(demographics_classification=data1!$K$19,TRUE,IF(X5=FALSE,FALSE,X5&gt;0)),FALSE)</f>
        <v>1</v>
      </c>
      <c r="W5" s="239" t="s">
        <v>925</v>
      </c>
      <c r="X5" s="239">
        <f t="array" aca="1" ref="X5" ca="1">IFERROR(MATCH(TRUE,EXACT(INDIRECT(U5),INDIRECT(W5)),0),EXACT(INDIRECT(U5),INDIRECT(W5)))</f>
        <v>1</v>
      </c>
    </row>
    <row r="6" spans="1:24" ht="12" customHeight="1" thickBot="1" x14ac:dyDescent="0.3">
      <c r="B6" s="219"/>
      <c r="C6" s="65"/>
      <c r="D6" s="65"/>
      <c r="E6" s="65"/>
      <c r="F6" s="65"/>
      <c r="G6" s="65"/>
      <c r="U6" s="239" t="str" cm="1">
        <f t="array" aca="1" ref="U6" ca="1">CELL("address",F13)</f>
        <v>$F$13</v>
      </c>
      <c r="V6" s="239" t="b">
        <f ca="1">IFERROR(IF(demographics_classification=data1!$K$19,TRUE,IF(X6=FALSE,FALSE,X6&gt;0)),FALSE)</f>
        <v>1</v>
      </c>
      <c r="W6" s="239" t="s">
        <v>926</v>
      </c>
      <c r="X6" s="239">
        <f t="array" aca="1" ref="X6" ca="1">IFERROR(MATCH(TRUE,EXACT(INDIRECT(U6),INDIRECT(W6)),0),EXACT(INDIRECT(U6),INDIRECT(W6)))</f>
        <v>4</v>
      </c>
    </row>
    <row r="7" spans="1:24" ht="20.100000000000001" customHeight="1" x14ac:dyDescent="0.25">
      <c r="B7" s="550" t="s">
        <v>927</v>
      </c>
      <c r="C7" s="551"/>
      <c r="D7" s="551"/>
      <c r="E7" s="551"/>
      <c r="F7" s="552" t="s">
        <v>171</v>
      </c>
      <c r="G7" s="552"/>
      <c r="H7" s="552"/>
      <c r="I7" s="552"/>
      <c r="J7" s="139" t="s">
        <v>866</v>
      </c>
      <c r="K7" s="548" t="s">
        <v>928</v>
      </c>
      <c r="L7" s="549"/>
      <c r="M7" s="549"/>
      <c r="N7" s="553" t="s">
        <v>1988</v>
      </c>
      <c r="O7" s="553"/>
      <c r="P7" s="139" t="s">
        <v>866</v>
      </c>
      <c r="Q7" s="66" t="s">
        <v>930</v>
      </c>
      <c r="R7" s="262" t="s">
        <v>758</v>
      </c>
      <c r="S7" s="142" t="s">
        <v>866</v>
      </c>
      <c r="U7" s="239" t="str" cm="1">
        <f t="array" aca="1" ref="U7" ca="1">CELL("address",F14)</f>
        <v>$F$14</v>
      </c>
      <c r="V7" s="239" t="b">
        <f t="shared" ca="1" si="0"/>
        <v>1</v>
      </c>
      <c r="W7" s="239" t="s">
        <v>931</v>
      </c>
      <c r="X7" s="239">
        <f t="array" aca="1" ref="X7" ca="1">IFERROR(MATCH(TRUE,EXACT(INDIRECT(U7),INDIRECT(W7)),0),EXACT(INDIRECT(U7),INDIRECT(W7)))</f>
        <v>15</v>
      </c>
    </row>
    <row r="8" spans="1:24" ht="20.100000000000001" customHeight="1" x14ac:dyDescent="0.25">
      <c r="B8" s="516" t="s">
        <v>932</v>
      </c>
      <c r="C8" s="517"/>
      <c r="D8" s="517"/>
      <c r="E8" s="517"/>
      <c r="F8" s="521" t="s">
        <v>385</v>
      </c>
      <c r="G8" s="521"/>
      <c r="H8" s="521"/>
      <c r="I8" s="521"/>
      <c r="J8" s="140" t="s">
        <v>866</v>
      </c>
      <c r="K8" s="554" t="s">
        <v>933</v>
      </c>
      <c r="L8" s="555"/>
      <c r="M8" s="555"/>
      <c r="N8" s="556" t="s">
        <v>1989</v>
      </c>
      <c r="O8" s="556"/>
      <c r="P8" s="140" t="s">
        <v>866</v>
      </c>
      <c r="Q8" s="546" t="s">
        <v>934</v>
      </c>
      <c r="R8" s="144" t="s">
        <v>743</v>
      </c>
      <c r="S8" s="143" t="s">
        <v>866</v>
      </c>
      <c r="U8" s="239" t="str" cm="1">
        <f t="array" aca="1" ref="U8" ca="1">CELL("address",N11)</f>
        <v>$N$11</v>
      </c>
      <c r="V8" s="239" t="b">
        <f t="shared" ca="1" si="0"/>
        <v>1</v>
      </c>
      <c r="W8" s="239" t="str">
        <f>IF(career_stage="HP","HP_positions","P_positions")</f>
        <v>P_positions</v>
      </c>
      <c r="X8" s="239">
        <f t="array" aca="1" ref="X8" ca="1">IFERROR(MATCH(TRUE,EXACT(INDIRECT(U8),INDIRECT(W8)),0),EXACT(INDIRECT(U8),INDIRECT(W8)))</f>
        <v>3</v>
      </c>
    </row>
    <row r="9" spans="1:24" ht="20.100000000000001" customHeight="1" x14ac:dyDescent="0.25">
      <c r="B9" s="516" t="s">
        <v>935</v>
      </c>
      <c r="C9" s="517"/>
      <c r="D9" s="517"/>
      <c r="E9" s="517"/>
      <c r="F9" s="521" t="s">
        <v>1986</v>
      </c>
      <c r="G9" s="521"/>
      <c r="H9" s="521"/>
      <c r="I9" s="521"/>
      <c r="J9" s="140" t="s">
        <v>866</v>
      </c>
      <c r="K9" s="554" t="s">
        <v>936</v>
      </c>
      <c r="L9" s="555"/>
      <c r="M9" s="555"/>
      <c r="N9" s="556" t="s">
        <v>1990</v>
      </c>
      <c r="O9" s="556"/>
      <c r="P9" s="140"/>
      <c r="Q9" s="547"/>
      <c r="R9" s="295"/>
      <c r="S9" s="143"/>
      <c r="U9" s="239" t="str" cm="1">
        <f t="array" aca="1" ref="U9" ca="1">CELL("address",N12)</f>
        <v>$N$12</v>
      </c>
      <c r="V9" s="239" t="b">
        <f t="shared" ca="1" si="0"/>
        <v>1</v>
      </c>
      <c r="W9" s="239" t="s">
        <v>937</v>
      </c>
      <c r="X9" s="239">
        <f t="array" aca="1" ref="X9" ca="1">IFERROR(MATCH(TRUE,EXACT(INDIRECT(U9),INDIRECT(W9)),0),EXACT(INDIRECT(U9),INDIRECT(W9)))</f>
        <v>1</v>
      </c>
    </row>
    <row r="10" spans="1:24" ht="20.100000000000001" customHeight="1" x14ac:dyDescent="0.25">
      <c r="B10" s="516" t="s">
        <v>938</v>
      </c>
      <c r="C10" s="517"/>
      <c r="D10" s="517"/>
      <c r="E10" s="517"/>
      <c r="F10" s="521">
        <v>301418</v>
      </c>
      <c r="G10" s="521"/>
      <c r="H10" s="521"/>
      <c r="I10" s="521"/>
      <c r="J10" s="140" t="str">
        <f>IF($F$14="Community-based Learning Center","","*")</f>
        <v>*</v>
      </c>
      <c r="K10" s="518" t="s">
        <v>939</v>
      </c>
      <c r="L10" s="519"/>
      <c r="M10" s="519"/>
      <c r="N10" s="520">
        <v>4363744</v>
      </c>
      <c r="O10" s="520"/>
      <c r="P10" s="140" t="s">
        <v>866</v>
      </c>
      <c r="Q10" s="67" t="s">
        <v>940</v>
      </c>
      <c r="R10" s="477" t="s">
        <v>166</v>
      </c>
      <c r="S10" s="143" t="s">
        <v>866</v>
      </c>
      <c r="U10" s="239" t="str" cm="1">
        <f t="array" aca="1" ref="U10" ca="1">CELL("address",N13)</f>
        <v>$N$13</v>
      </c>
      <c r="V10" s="239" t="b">
        <f t="shared" ca="1" si="0"/>
        <v>1</v>
      </c>
      <c r="W10" s="239" t="s">
        <v>941</v>
      </c>
      <c r="X10" s="239">
        <f t="array" aca="1" ref="X10" ca="1">IFERROR(MATCH(TRUE,EXACT(INDIRECT(U10),INDIRECT(W10)),0),EXACT(INDIRECT(U10),INDIRECT(W10)))</f>
        <v>5</v>
      </c>
    </row>
    <row r="11" spans="1:24" ht="20.100000000000001" customHeight="1" x14ac:dyDescent="0.25">
      <c r="B11" s="516" t="s">
        <v>942</v>
      </c>
      <c r="C11" s="517"/>
      <c r="D11" s="517"/>
      <c r="E11" s="517"/>
      <c r="F11" s="521" t="s">
        <v>1987</v>
      </c>
      <c r="G11" s="521"/>
      <c r="H11" s="521"/>
      <c r="I11" s="521"/>
      <c r="J11" s="140" t="s">
        <v>866</v>
      </c>
      <c r="K11" s="518" t="s">
        <v>943</v>
      </c>
      <c r="L11" s="519"/>
      <c r="M11" s="519"/>
      <c r="N11" s="562" t="s">
        <v>755</v>
      </c>
      <c r="O11" s="562"/>
      <c r="P11" s="140" t="s">
        <v>866</v>
      </c>
      <c r="Q11" s="296" t="s">
        <v>944</v>
      </c>
      <c r="R11" s="295" t="s">
        <v>1991</v>
      </c>
      <c r="S11" s="143" t="s">
        <v>866</v>
      </c>
      <c r="U11" s="239" t="str" cm="1">
        <f t="array" aca="1" ref="U11" ca="1">CELL("address",N14)</f>
        <v>$N$14</v>
      </c>
      <c r="V11" s="239" t="b">
        <f t="shared" ca="1" si="0"/>
        <v>1</v>
      </c>
      <c r="W11" s="239" t="s">
        <v>945</v>
      </c>
      <c r="X11" s="239">
        <f t="array" aca="1" ref="X11" ca="1">IFERROR(MATCH(TRUE,EXACT(INDIRECT(U11),INDIRECT(W11)),0),EXACT(INDIRECT(U11),INDIRECT(W11)))</f>
        <v>2</v>
      </c>
    </row>
    <row r="12" spans="1:24" ht="20.100000000000001" customHeight="1" x14ac:dyDescent="0.25">
      <c r="B12" s="516" t="s">
        <v>946</v>
      </c>
      <c r="C12" s="517"/>
      <c r="D12" s="517"/>
      <c r="E12" s="517"/>
      <c r="F12" s="521" t="s">
        <v>715</v>
      </c>
      <c r="G12" s="521"/>
      <c r="H12" s="521"/>
      <c r="I12" s="521"/>
      <c r="J12" s="140" t="str">
        <f>IF($F$14="Community-based Learning Center","","*")</f>
        <v>*</v>
      </c>
      <c r="K12" s="534" t="s">
        <v>947</v>
      </c>
      <c r="L12" s="535"/>
      <c r="M12" s="536"/>
      <c r="N12" s="560" t="s">
        <v>721</v>
      </c>
      <c r="O12" s="561"/>
      <c r="P12" s="140" t="s">
        <v>866</v>
      </c>
      <c r="Q12" s="296" t="s">
        <v>948</v>
      </c>
      <c r="R12" s="295">
        <v>229085132</v>
      </c>
      <c r="S12" s="143" t="s">
        <v>866</v>
      </c>
      <c r="U12" s="239" t="str" cm="1">
        <f t="array" aca="1" ref="U12" ca="1">CELL("address",R7)</f>
        <v>$R$7</v>
      </c>
      <c r="V12" s="239" t="b">
        <f t="shared" ca="1" si="0"/>
        <v>1</v>
      </c>
      <c r="W12" s="239" t="s">
        <v>53</v>
      </c>
      <c r="X12" s="239">
        <f t="array" aca="1" ref="X12" ca="1">IFERROR(MATCH(TRUE,EXACT(INDIRECT(U12),INDIRECT(W12)),0),EXACT(INDIRECT(U12),INDIRECT(W12)))</f>
        <v>3</v>
      </c>
    </row>
    <row r="13" spans="1:24" ht="20.100000000000001" customHeight="1" x14ac:dyDescent="0.25">
      <c r="B13" s="529" t="s">
        <v>949</v>
      </c>
      <c r="C13" s="530"/>
      <c r="D13" s="530"/>
      <c r="E13" s="530"/>
      <c r="F13" s="521" t="s">
        <v>765</v>
      </c>
      <c r="G13" s="521"/>
      <c r="H13" s="521"/>
      <c r="I13" s="521"/>
      <c r="J13" s="140" t="str">
        <f>IF($F$14="Community-based Learning Center","","*")</f>
        <v>*</v>
      </c>
      <c r="K13" s="534" t="s">
        <v>950</v>
      </c>
      <c r="L13" s="535"/>
      <c r="M13" s="536"/>
      <c r="N13" s="540" t="s">
        <v>776</v>
      </c>
      <c r="O13" s="541"/>
      <c r="P13" s="140" t="s">
        <v>866</v>
      </c>
      <c r="Q13" s="68"/>
      <c r="S13" s="69"/>
      <c r="U13" s="239" t="str" cm="1">
        <f t="array" aca="1" ref="U13" ca="1">CELL("address",R8)</f>
        <v>$R$8</v>
      </c>
      <c r="V13" s="239" t="b">
        <f t="shared" ca="1" si="0"/>
        <v>1</v>
      </c>
      <c r="W13" s="239" t="s">
        <v>951</v>
      </c>
      <c r="X13" s="239">
        <f t="array" aca="1" ref="X13" ca="1">IFERROR(MATCH(TRUE,EXACT(INDIRECT(U13),INDIRECT(W13)),0),EXACT(INDIRECT(U13),INDIRECT(W13)))</f>
        <v>2</v>
      </c>
    </row>
    <row r="14" spans="1:24" ht="20.100000000000001" customHeight="1" thickBot="1" x14ac:dyDescent="0.3">
      <c r="B14" s="532" t="s">
        <v>952</v>
      </c>
      <c r="C14" s="533"/>
      <c r="D14" s="533"/>
      <c r="E14" s="533"/>
      <c r="F14" s="531" t="s">
        <v>240</v>
      </c>
      <c r="G14" s="531"/>
      <c r="H14" s="531"/>
      <c r="I14" s="531"/>
      <c r="J14" s="141" t="s">
        <v>953</v>
      </c>
      <c r="K14" s="537" t="s">
        <v>954</v>
      </c>
      <c r="L14" s="538"/>
      <c r="M14" s="539"/>
      <c r="N14" s="542" t="s">
        <v>739</v>
      </c>
      <c r="O14" s="543"/>
      <c r="P14" s="141" t="s">
        <v>866</v>
      </c>
      <c r="Q14" s="71"/>
      <c r="R14" s="70"/>
      <c r="S14" s="72"/>
      <c r="U14" s="239" t="str" cm="1">
        <f t="array" aca="1" ref="U14" ca="1">CELL("address",demographics_level)</f>
        <v>$R$10</v>
      </c>
      <c r="V14" s="239" t="b">
        <f ca="1">IFERROR(IF(X14=FALSE,FALSE,X14&gt;0),FALSE)</f>
        <v>1</v>
      </c>
      <c r="W14" s="239" t="str">
        <f>VLOOKUP($F$14,curricular_classification_vlookup,2,FALSE)</f>
        <v>Class15</v>
      </c>
      <c r="X14" s="239" t="b">
        <f t="array" aca="1" ref="X14" ca="1">IFERROR(MATCH(TRUE,EXACT(INDIRECT(U14),INDIRECT(W14)),0),EXACT(INDIRECT(U14),INDIRECT(W14)))</f>
        <v>1</v>
      </c>
    </row>
    <row r="15" spans="1:24" ht="15" customHeight="1" x14ac:dyDescent="0.25">
      <c r="B15" s="241" t="s">
        <v>955</v>
      </c>
      <c r="C15" s="65"/>
      <c r="D15" s="65"/>
      <c r="E15" s="65"/>
      <c r="F15" s="65"/>
      <c r="G15" s="65"/>
    </row>
    <row r="16" spans="1:24" ht="18" customHeight="1" thickBot="1" x14ac:dyDescent="0.3">
      <c r="B16" s="241" t="s">
        <v>956</v>
      </c>
      <c r="C16" s="65"/>
      <c r="D16" s="65"/>
      <c r="E16" s="65"/>
      <c r="F16" s="65"/>
      <c r="G16" s="65"/>
    </row>
    <row r="17" spans="2:16" ht="15" hidden="1" customHeight="1" x14ac:dyDescent="0.25">
      <c r="B17" s="64"/>
      <c r="C17" s="65"/>
      <c r="D17" s="65"/>
      <c r="E17" s="65"/>
      <c r="F17" s="65"/>
      <c r="G17" s="65"/>
      <c r="H17" s="523" t="s">
        <v>957</v>
      </c>
      <c r="I17" s="524"/>
      <c r="J17" s="524"/>
      <c r="K17" s="524"/>
      <c r="L17" s="524"/>
      <c r="M17" s="524"/>
      <c r="N17" s="524"/>
      <c r="O17" s="524"/>
      <c r="P17" s="525"/>
    </row>
    <row r="18" spans="2:16" ht="15" hidden="1" customHeight="1" thickBot="1" x14ac:dyDescent="0.3">
      <c r="B18" s="64"/>
      <c r="C18" s="65"/>
      <c r="D18" s="65"/>
      <c r="E18" s="65"/>
      <c r="F18" s="65"/>
      <c r="G18" s="65"/>
      <c r="H18" s="526"/>
      <c r="I18" s="527"/>
      <c r="J18" s="527"/>
      <c r="K18" s="527"/>
      <c r="L18" s="527"/>
      <c r="M18" s="527"/>
      <c r="N18" s="527"/>
      <c r="O18" s="527"/>
      <c r="P18" s="528"/>
    </row>
    <row r="19" spans="2:16" s="154" customFormat="1" ht="20.100000000000001" hidden="1" customHeight="1" x14ac:dyDescent="0.25">
      <c r="B19" s="221"/>
      <c r="C19" s="222"/>
      <c r="D19" s="222"/>
      <c r="E19" s="222"/>
      <c r="F19" s="222"/>
      <c r="G19" s="222"/>
      <c r="H19" s="223"/>
      <c r="I19" s="224" t="s">
        <v>791</v>
      </c>
      <c r="J19" s="225"/>
      <c r="K19" s="224"/>
      <c r="L19" s="224"/>
      <c r="M19" s="224"/>
      <c r="N19" s="224"/>
      <c r="O19" s="224" t="s">
        <v>774</v>
      </c>
      <c r="P19" s="226"/>
    </row>
    <row r="20" spans="2:16" s="154" customFormat="1" ht="20.100000000000001" hidden="1" customHeight="1" x14ac:dyDescent="0.25">
      <c r="B20" s="221"/>
      <c r="C20" s="222"/>
      <c r="D20" s="222"/>
      <c r="E20" s="222"/>
      <c r="F20" s="222"/>
      <c r="G20" s="222"/>
      <c r="H20" s="231"/>
      <c r="I20" s="222" t="s">
        <v>125</v>
      </c>
      <c r="K20" s="222"/>
      <c r="L20" s="222"/>
      <c r="M20" s="222"/>
      <c r="N20" s="222"/>
      <c r="O20" s="222" t="s">
        <v>780</v>
      </c>
      <c r="P20" s="227"/>
    </row>
    <row r="21" spans="2:16" s="154" customFormat="1" ht="20.100000000000001" hidden="1" customHeight="1" x14ac:dyDescent="0.25">
      <c r="B21" s="221"/>
      <c r="C21" s="222"/>
      <c r="D21" s="222"/>
      <c r="E21" s="222"/>
      <c r="F21" s="222"/>
      <c r="G21" s="222"/>
      <c r="H21" s="231"/>
      <c r="I21" s="222" t="s">
        <v>736</v>
      </c>
      <c r="K21" s="222"/>
      <c r="L21" s="222"/>
      <c r="M21" s="222"/>
      <c r="N21" s="222"/>
      <c r="O21" s="222" t="s">
        <v>785</v>
      </c>
      <c r="P21" s="227"/>
    </row>
    <row r="22" spans="2:16" s="154" customFormat="1" ht="20.100000000000001" hidden="1" customHeight="1" x14ac:dyDescent="0.25">
      <c r="B22" s="221"/>
      <c r="C22" s="222"/>
      <c r="D22" s="222"/>
      <c r="E22" s="222"/>
      <c r="F22" s="222"/>
      <c r="G22" s="222"/>
      <c r="H22" s="231"/>
      <c r="I22" s="222" t="s">
        <v>754</v>
      </c>
      <c r="K22" s="222"/>
      <c r="L22" s="222"/>
      <c r="M22" s="222"/>
      <c r="N22" s="222"/>
      <c r="O22" s="154" t="s">
        <v>958</v>
      </c>
      <c r="P22" s="227"/>
    </row>
    <row r="23" spans="2:16" s="154" customFormat="1" ht="20.100000000000001" hidden="1" customHeight="1" thickBot="1" x14ac:dyDescent="0.3">
      <c r="B23" s="221"/>
      <c r="C23" s="222"/>
      <c r="D23" s="222"/>
      <c r="E23" s="222"/>
      <c r="F23" s="222"/>
      <c r="G23" s="222"/>
      <c r="H23" s="232"/>
      <c r="I23" s="228" t="s">
        <v>767</v>
      </c>
      <c r="J23" s="229"/>
      <c r="K23" s="229"/>
      <c r="L23" s="229"/>
      <c r="M23" s="229"/>
      <c r="N23" s="229"/>
      <c r="O23" s="238" t="s">
        <v>959</v>
      </c>
      <c r="P23" s="230"/>
    </row>
    <row r="24" spans="2:16" ht="15" hidden="1" customHeight="1" thickBot="1" x14ac:dyDescent="0.3">
      <c r="B24" s="64"/>
      <c r="C24" s="65"/>
      <c r="D24" s="65"/>
      <c r="E24" s="65"/>
      <c r="F24" s="65"/>
      <c r="G24" s="65"/>
    </row>
    <row r="25" spans="2:16" ht="15" customHeight="1" x14ac:dyDescent="0.25">
      <c r="B25" s="64"/>
      <c r="C25" s="65"/>
      <c r="D25" s="65"/>
      <c r="E25" s="65"/>
      <c r="F25" s="65"/>
      <c r="G25" s="65"/>
      <c r="H25" s="523" t="s">
        <v>957</v>
      </c>
      <c r="I25" s="524"/>
      <c r="J25" s="524"/>
      <c r="K25" s="524"/>
      <c r="L25" s="524"/>
      <c r="M25" s="524"/>
      <c r="N25" s="524"/>
      <c r="O25" s="524"/>
      <c r="P25" s="525"/>
    </row>
    <row r="26" spans="2:16" ht="15" customHeight="1" thickBot="1" x14ac:dyDescent="0.3">
      <c r="B26" s="64"/>
      <c r="C26" s="65"/>
      <c r="D26" s="65"/>
      <c r="E26" s="65"/>
      <c r="F26" s="65"/>
      <c r="G26" s="65"/>
      <c r="H26" s="526"/>
      <c r="I26" s="527"/>
      <c r="J26" s="527"/>
      <c r="K26" s="527"/>
      <c r="L26" s="527"/>
      <c r="M26" s="527"/>
      <c r="N26" s="527"/>
      <c r="O26" s="527"/>
      <c r="P26" s="528"/>
    </row>
    <row r="27" spans="2:16" ht="20.100000000000001" customHeight="1" x14ac:dyDescent="0.25">
      <c r="B27" s="64"/>
      <c r="C27" s="65"/>
      <c r="D27" s="65"/>
      <c r="E27" s="65"/>
      <c r="F27" s="65"/>
      <c r="G27" s="65"/>
      <c r="H27" s="223"/>
      <c r="I27" s="224" t="s">
        <v>791</v>
      </c>
      <c r="J27" s="225"/>
      <c r="K27" s="224"/>
      <c r="L27" s="224"/>
      <c r="M27" s="224"/>
      <c r="N27" s="224"/>
      <c r="O27" s="224" t="s">
        <v>812</v>
      </c>
      <c r="P27" s="73"/>
    </row>
    <row r="28" spans="2:16" ht="20.100000000000001" customHeight="1" x14ac:dyDescent="0.25">
      <c r="B28" s="64"/>
      <c r="C28" s="65"/>
      <c r="D28" s="65"/>
      <c r="E28" s="65"/>
      <c r="F28" s="65"/>
      <c r="G28" s="65"/>
      <c r="H28" s="231"/>
      <c r="I28" s="222" t="s">
        <v>803</v>
      </c>
      <c r="J28" s="154"/>
      <c r="K28" s="222"/>
      <c r="L28" s="222"/>
      <c r="M28" s="222"/>
      <c r="N28" s="222"/>
      <c r="O28" s="222" t="s">
        <v>816</v>
      </c>
      <c r="P28" s="69"/>
    </row>
    <row r="29" spans="2:16" ht="20.100000000000001" customHeight="1" x14ac:dyDescent="0.25">
      <c r="B29" s="64"/>
      <c r="C29" s="65"/>
      <c r="D29" s="65"/>
      <c r="E29" s="65"/>
      <c r="F29" s="65"/>
      <c r="G29" s="65"/>
      <c r="H29" s="231"/>
      <c r="I29" s="222" t="s">
        <v>808</v>
      </c>
      <c r="J29" s="154"/>
      <c r="K29" s="222"/>
      <c r="L29" s="222"/>
      <c r="M29" s="222"/>
      <c r="N29" s="222"/>
      <c r="O29" s="154" t="s">
        <v>958</v>
      </c>
      <c r="P29" s="69"/>
    </row>
    <row r="30" spans="2:16" ht="20.100000000000001" customHeight="1" thickBot="1" x14ac:dyDescent="0.3">
      <c r="B30" s="64"/>
      <c r="C30" s="65"/>
      <c r="D30" s="65"/>
      <c r="E30" s="65"/>
      <c r="F30" s="65"/>
      <c r="G30" s="65"/>
      <c r="H30" s="232"/>
      <c r="I30" s="229"/>
      <c r="J30" s="229"/>
      <c r="K30" s="229"/>
      <c r="L30" s="229"/>
      <c r="M30" s="229"/>
      <c r="N30" s="228"/>
      <c r="O30" s="238" t="s">
        <v>959</v>
      </c>
      <c r="P30" s="72"/>
    </row>
    <row r="31" spans="2:16" ht="15" customHeight="1" thickBot="1" x14ac:dyDescent="0.3">
      <c r="B31" s="64"/>
      <c r="C31" s="65"/>
      <c r="D31" s="65"/>
      <c r="E31" s="65"/>
      <c r="F31" s="65"/>
      <c r="G31" s="65"/>
    </row>
    <row r="32" spans="2:16" ht="15" hidden="1" customHeight="1" x14ac:dyDescent="0.25">
      <c r="B32" s="64"/>
      <c r="C32" s="65"/>
      <c r="D32" s="65"/>
      <c r="E32" s="65"/>
      <c r="F32" s="65"/>
      <c r="G32" s="65"/>
      <c r="H32" s="523" t="s">
        <v>957</v>
      </c>
      <c r="I32" s="524"/>
      <c r="J32" s="524"/>
      <c r="K32" s="524"/>
      <c r="L32" s="524"/>
      <c r="M32" s="524"/>
      <c r="N32" s="524"/>
      <c r="O32" s="524"/>
      <c r="P32" s="525"/>
    </row>
    <row r="33" spans="2:22" ht="15" hidden="1" customHeight="1" thickBot="1" x14ac:dyDescent="0.3">
      <c r="B33" s="64"/>
      <c r="C33" s="65"/>
      <c r="D33" s="65"/>
      <c r="E33" s="65"/>
      <c r="F33" s="65"/>
      <c r="G33" s="65"/>
      <c r="H33" s="526"/>
      <c r="I33" s="527"/>
      <c r="J33" s="527"/>
      <c r="K33" s="527"/>
      <c r="L33" s="527"/>
      <c r="M33" s="527"/>
      <c r="N33" s="527"/>
      <c r="O33" s="527"/>
      <c r="P33" s="528"/>
    </row>
    <row r="34" spans="2:22" ht="20.100000000000001" hidden="1" customHeight="1" x14ac:dyDescent="0.25">
      <c r="B34" s="64"/>
      <c r="C34" s="65"/>
      <c r="D34" s="65"/>
      <c r="E34" s="65"/>
      <c r="F34" s="65"/>
      <c r="G34" s="65"/>
      <c r="H34" s="223"/>
      <c r="I34" s="224" t="s">
        <v>820</v>
      </c>
      <c r="J34" s="225"/>
      <c r="K34" s="224"/>
      <c r="L34" s="224"/>
      <c r="M34" s="224"/>
      <c r="N34" s="224"/>
      <c r="O34" s="225" t="s">
        <v>958</v>
      </c>
      <c r="P34" s="226"/>
    </row>
    <row r="35" spans="2:22" ht="20.100000000000001" hidden="1" customHeight="1" thickBot="1" x14ac:dyDescent="0.3">
      <c r="B35" s="64"/>
      <c r="C35" s="65"/>
      <c r="D35" s="65"/>
      <c r="E35" s="65"/>
      <c r="F35" s="65"/>
      <c r="G35" s="65"/>
      <c r="H35" s="232"/>
      <c r="I35" s="228" t="s">
        <v>824</v>
      </c>
      <c r="J35" s="229"/>
      <c r="K35" s="228"/>
      <c r="L35" s="228"/>
      <c r="M35" s="228"/>
      <c r="N35" s="229"/>
      <c r="O35" s="238" t="s">
        <v>959</v>
      </c>
      <c r="P35" s="230"/>
    </row>
    <row r="36" spans="2:22" ht="15" hidden="1" customHeight="1" thickBot="1" x14ac:dyDescent="0.3">
      <c r="B36" s="64"/>
      <c r="C36" s="65"/>
      <c r="D36" s="65"/>
      <c r="E36" s="65"/>
      <c r="F36" s="65"/>
      <c r="G36" s="65"/>
    </row>
    <row r="37" spans="2:22" ht="21" customHeight="1" x14ac:dyDescent="0.25">
      <c r="B37" s="522"/>
      <c r="C37" s="522"/>
      <c r="D37" s="65"/>
      <c r="E37" s="65"/>
      <c r="F37" s="65"/>
      <c r="G37" s="65"/>
      <c r="H37" s="523" t="s">
        <v>960</v>
      </c>
      <c r="I37" s="524"/>
      <c r="J37" s="524"/>
      <c r="K37" s="524"/>
      <c r="L37" s="524"/>
      <c r="M37" s="524"/>
      <c r="N37" s="524"/>
      <c r="O37" s="524"/>
      <c r="P37" s="525"/>
    </row>
    <row r="38" spans="2:22" ht="15" customHeight="1" thickBot="1" x14ac:dyDescent="0.3">
      <c r="B38" s="65"/>
      <c r="C38" s="65"/>
      <c r="D38" s="65"/>
      <c r="E38" s="65"/>
      <c r="F38" s="65"/>
      <c r="G38" s="65"/>
      <c r="H38" s="526"/>
      <c r="I38" s="527"/>
      <c r="J38" s="527"/>
      <c r="K38" s="527"/>
      <c r="L38" s="527"/>
      <c r="M38" s="527"/>
      <c r="N38" s="527"/>
      <c r="O38" s="527"/>
      <c r="P38" s="528"/>
    </row>
    <row r="39" spans="2:22" ht="20.100000000000001" customHeight="1" x14ac:dyDescent="0.25">
      <c r="B39" s="65"/>
      <c r="C39" s="65"/>
      <c r="D39" s="65"/>
      <c r="E39" s="65"/>
      <c r="F39" s="65"/>
      <c r="G39" s="65"/>
      <c r="H39" s="223"/>
      <c r="I39" s="224" t="s">
        <v>723</v>
      </c>
      <c r="J39" s="225"/>
      <c r="K39" s="224"/>
      <c r="L39" s="224"/>
      <c r="M39" s="224"/>
      <c r="N39" s="224"/>
      <c r="O39" s="225" t="s">
        <v>805</v>
      </c>
      <c r="P39" s="73"/>
    </row>
    <row r="40" spans="2:22" ht="20.100000000000001" customHeight="1" x14ac:dyDescent="0.25">
      <c r="C40" s="65"/>
      <c r="D40" s="65"/>
      <c r="E40" s="65"/>
      <c r="F40" s="65"/>
      <c r="G40" s="65"/>
      <c r="H40" s="231"/>
      <c r="I40" s="222" t="s">
        <v>742</v>
      </c>
      <c r="J40" s="154"/>
      <c r="K40" s="222"/>
      <c r="L40" s="222"/>
      <c r="M40" s="222"/>
      <c r="N40" s="222"/>
      <c r="O40" s="154" t="s">
        <v>791</v>
      </c>
      <c r="P40" s="69"/>
    </row>
    <row r="41" spans="2:22" ht="20.100000000000001" customHeight="1" x14ac:dyDescent="0.25">
      <c r="C41" s="65"/>
      <c r="D41" s="65"/>
      <c r="E41" s="65"/>
      <c r="F41" s="65"/>
      <c r="G41" s="65"/>
      <c r="H41" s="231"/>
      <c r="I41" s="222" t="s">
        <v>759</v>
      </c>
      <c r="J41" s="154"/>
      <c r="K41" s="222"/>
      <c r="L41" s="222"/>
      <c r="M41" s="222"/>
      <c r="N41" s="222"/>
      <c r="O41" s="154" t="s">
        <v>810</v>
      </c>
      <c r="P41" s="69"/>
    </row>
    <row r="42" spans="2:22" ht="20.100000000000001" customHeight="1" x14ac:dyDescent="0.25">
      <c r="C42" s="65"/>
      <c r="D42" s="65"/>
      <c r="E42" s="65"/>
      <c r="F42" s="65"/>
      <c r="G42" s="65"/>
      <c r="H42" s="231"/>
      <c r="I42" s="222" t="s">
        <v>771</v>
      </c>
      <c r="J42" s="154"/>
      <c r="K42" s="222"/>
      <c r="L42" s="222"/>
      <c r="M42" s="222"/>
      <c r="N42" s="222"/>
      <c r="O42" s="154" t="s">
        <v>814</v>
      </c>
      <c r="P42" s="69"/>
    </row>
    <row r="43" spans="2:22" ht="20.100000000000001" customHeight="1" x14ac:dyDescent="0.25">
      <c r="C43" s="65"/>
      <c r="D43" s="65"/>
      <c r="E43" s="65"/>
      <c r="F43" s="65"/>
      <c r="G43" s="65"/>
      <c r="H43" s="231"/>
      <c r="I43" s="222" t="s">
        <v>777</v>
      </c>
      <c r="J43" s="154"/>
      <c r="K43" s="222"/>
      <c r="L43" s="222"/>
      <c r="M43" s="222"/>
      <c r="N43" s="222"/>
      <c r="O43" s="154" t="s">
        <v>818</v>
      </c>
      <c r="P43" s="69"/>
    </row>
    <row r="44" spans="2:22" ht="20.100000000000001" customHeight="1" x14ac:dyDescent="0.25">
      <c r="C44" s="65"/>
      <c r="D44" s="65"/>
      <c r="E44" s="65"/>
      <c r="F44" s="65"/>
      <c r="G44" s="65"/>
      <c r="H44" s="231"/>
      <c r="I44" s="222" t="s">
        <v>783</v>
      </c>
      <c r="J44" s="154"/>
      <c r="K44" s="222"/>
      <c r="L44" s="222"/>
      <c r="M44" s="222"/>
      <c r="N44" s="222"/>
      <c r="O44" s="154" t="s">
        <v>822</v>
      </c>
      <c r="P44" s="69"/>
    </row>
    <row r="45" spans="2:22" ht="20.100000000000001" customHeight="1" x14ac:dyDescent="0.25">
      <c r="C45" s="65"/>
      <c r="D45" s="65"/>
      <c r="E45" s="65"/>
      <c r="F45" s="65"/>
      <c r="G45" s="65"/>
      <c r="H45" s="231"/>
      <c r="I45" s="222" t="s">
        <v>788</v>
      </c>
      <c r="J45" s="154"/>
      <c r="K45" s="222"/>
      <c r="L45" s="222"/>
      <c r="M45" s="222"/>
      <c r="N45" s="222"/>
      <c r="O45" s="154" t="s">
        <v>829</v>
      </c>
      <c r="P45" s="69"/>
    </row>
    <row r="46" spans="2:22" ht="20.100000000000001" customHeight="1" x14ac:dyDescent="0.25">
      <c r="C46" s="65"/>
      <c r="D46" s="65"/>
      <c r="E46" s="65"/>
      <c r="F46" s="65"/>
      <c r="G46" s="65"/>
      <c r="H46" s="231"/>
      <c r="I46" s="222" t="s">
        <v>794</v>
      </c>
      <c r="J46" s="154"/>
      <c r="K46" s="222"/>
      <c r="L46" s="222"/>
      <c r="M46" s="222"/>
      <c r="N46" s="222"/>
      <c r="O46" s="154" t="s">
        <v>961</v>
      </c>
      <c r="P46" s="74"/>
    </row>
    <row r="47" spans="2:22" ht="20.100000000000001" customHeight="1" thickBot="1" x14ac:dyDescent="0.3">
      <c r="C47" s="65"/>
      <c r="D47" s="65"/>
      <c r="E47" s="65"/>
      <c r="F47" s="65"/>
      <c r="G47" s="65"/>
      <c r="H47" s="232"/>
      <c r="I47" s="228" t="s">
        <v>800</v>
      </c>
      <c r="J47" s="229"/>
      <c r="K47" s="229"/>
      <c r="L47" s="229"/>
      <c r="M47" s="228"/>
      <c r="N47" s="228"/>
      <c r="O47" s="233"/>
      <c r="P47" s="75"/>
      <c r="V47" s="47" t="b">
        <f ca="1">R81</f>
        <v>1</v>
      </c>
    </row>
    <row r="48" spans="2:22" ht="20.100000000000001" customHeight="1" thickBot="1" x14ac:dyDescent="0.3"/>
    <row r="49" spans="4:22" ht="15.6" customHeight="1" x14ac:dyDescent="0.25">
      <c r="D49" s="65"/>
      <c r="E49" s="65"/>
      <c r="F49" s="65"/>
      <c r="G49" s="65"/>
      <c r="H49" s="523" t="s">
        <v>962</v>
      </c>
      <c r="I49" s="524"/>
      <c r="J49" s="524"/>
      <c r="K49" s="524"/>
      <c r="L49" s="524"/>
      <c r="M49" s="524"/>
      <c r="N49" s="524"/>
      <c r="O49" s="524"/>
      <c r="P49" s="525"/>
    </row>
    <row r="50" spans="4:22" ht="15.6" customHeight="1" thickBot="1" x14ac:dyDescent="0.3">
      <c r="D50" s="65"/>
      <c r="E50" s="65"/>
      <c r="F50" s="65"/>
      <c r="G50" s="65"/>
      <c r="H50" s="526"/>
      <c r="I50" s="527"/>
      <c r="J50" s="527"/>
      <c r="K50" s="527"/>
      <c r="L50" s="527"/>
      <c r="M50" s="527"/>
      <c r="N50" s="527"/>
      <c r="O50" s="527"/>
      <c r="P50" s="528"/>
    </row>
    <row r="51" spans="4:22" s="154" customFormat="1" ht="20.100000000000001" customHeight="1" x14ac:dyDescent="0.25">
      <c r="D51" s="222"/>
      <c r="E51" s="222"/>
      <c r="F51" s="222"/>
      <c r="G51" s="222"/>
      <c r="H51" s="223"/>
      <c r="I51" s="224" t="s">
        <v>725</v>
      </c>
      <c r="J51" s="225"/>
      <c r="K51" s="224"/>
      <c r="L51" s="224"/>
      <c r="M51" s="224"/>
      <c r="N51" s="224"/>
      <c r="O51" s="224" t="s">
        <v>814</v>
      </c>
      <c r="P51" s="226"/>
    </row>
    <row r="52" spans="4:22" s="154" customFormat="1" ht="20.100000000000001" customHeight="1" x14ac:dyDescent="0.25">
      <c r="D52" s="222"/>
      <c r="E52" s="222"/>
      <c r="F52" s="222"/>
      <c r="G52" s="222"/>
      <c r="H52" s="231"/>
      <c r="I52" s="222" t="s">
        <v>744</v>
      </c>
      <c r="L52" s="222"/>
      <c r="M52" s="222"/>
      <c r="N52" s="222"/>
      <c r="O52" s="222" t="s">
        <v>818</v>
      </c>
      <c r="P52" s="227"/>
    </row>
    <row r="53" spans="4:22" s="154" customFormat="1" ht="20.100000000000001" customHeight="1" x14ac:dyDescent="0.25">
      <c r="D53" s="222"/>
      <c r="E53" s="222"/>
      <c r="F53" s="222"/>
      <c r="G53" s="222"/>
      <c r="H53" s="231"/>
      <c r="I53" s="222" t="s">
        <v>761</v>
      </c>
      <c r="L53" s="222"/>
      <c r="M53" s="222"/>
      <c r="N53" s="222"/>
      <c r="O53" s="222" t="s">
        <v>822</v>
      </c>
      <c r="P53" s="227"/>
    </row>
    <row r="54" spans="4:22" s="154" customFormat="1" ht="20.100000000000001" customHeight="1" x14ac:dyDescent="0.25">
      <c r="D54" s="222"/>
      <c r="E54" s="222"/>
      <c r="F54" s="222"/>
      <c r="G54" s="222"/>
      <c r="H54" s="231"/>
      <c r="I54" s="222" t="s">
        <v>742</v>
      </c>
      <c r="L54" s="222"/>
      <c r="M54" s="222"/>
      <c r="N54" s="222"/>
      <c r="O54" s="222" t="s">
        <v>826</v>
      </c>
      <c r="P54" s="227"/>
    </row>
    <row r="55" spans="4:22" s="154" customFormat="1" ht="20.100000000000001" customHeight="1" x14ac:dyDescent="0.25">
      <c r="D55" s="222"/>
      <c r="E55" s="222"/>
      <c r="F55" s="222"/>
      <c r="G55" s="222"/>
      <c r="H55" s="231"/>
      <c r="I55" s="222" t="s">
        <v>723</v>
      </c>
      <c r="L55" s="222"/>
      <c r="M55" s="222"/>
      <c r="N55" s="222"/>
      <c r="O55" s="222" t="s">
        <v>830</v>
      </c>
      <c r="P55" s="227"/>
    </row>
    <row r="56" spans="4:22" s="154" customFormat="1" ht="20.100000000000001" customHeight="1" x14ac:dyDescent="0.25">
      <c r="D56" s="222"/>
      <c r="E56" s="222"/>
      <c r="F56" s="222"/>
      <c r="G56" s="222"/>
      <c r="H56" s="231"/>
      <c r="I56" s="222" t="s">
        <v>759</v>
      </c>
      <c r="L56" s="222"/>
      <c r="M56" s="222"/>
      <c r="N56" s="222"/>
      <c r="O56" s="222" t="s">
        <v>833</v>
      </c>
      <c r="P56" s="227"/>
    </row>
    <row r="57" spans="4:22" s="154" customFormat="1" ht="20.100000000000001" customHeight="1" x14ac:dyDescent="0.25">
      <c r="D57" s="222"/>
      <c r="E57" s="222"/>
      <c r="F57" s="222"/>
      <c r="G57" s="222"/>
      <c r="H57" s="231"/>
      <c r="I57" s="222" t="s">
        <v>789</v>
      </c>
      <c r="L57" s="222"/>
      <c r="M57" s="222"/>
      <c r="N57" s="222"/>
      <c r="O57" s="222" t="s">
        <v>836</v>
      </c>
      <c r="P57" s="227"/>
    </row>
    <row r="58" spans="4:22" s="154" customFormat="1" ht="20.100000000000001" customHeight="1" x14ac:dyDescent="0.25">
      <c r="D58" s="222"/>
      <c r="E58" s="222"/>
      <c r="F58" s="222"/>
      <c r="G58" s="222"/>
      <c r="H58" s="231"/>
      <c r="I58" s="222" t="s">
        <v>795</v>
      </c>
      <c r="L58" s="222"/>
      <c r="M58" s="222"/>
      <c r="N58" s="222"/>
      <c r="O58" s="154" t="s">
        <v>838</v>
      </c>
      <c r="P58" s="227"/>
    </row>
    <row r="59" spans="4:22" s="154" customFormat="1" ht="20.100000000000001" customHeight="1" x14ac:dyDescent="0.25">
      <c r="D59" s="222"/>
      <c r="E59" s="222"/>
      <c r="F59" s="222"/>
      <c r="G59" s="222"/>
      <c r="H59" s="231"/>
      <c r="I59" s="222" t="s">
        <v>801</v>
      </c>
      <c r="J59" s="222"/>
      <c r="K59" s="222"/>
      <c r="L59" s="222"/>
      <c r="M59" s="222"/>
      <c r="O59" s="76" t="s">
        <v>963</v>
      </c>
      <c r="P59" s="234"/>
    </row>
    <row r="60" spans="4:22" s="154" customFormat="1" ht="20.100000000000001" customHeight="1" x14ac:dyDescent="0.25">
      <c r="D60" s="222"/>
      <c r="E60" s="222"/>
      <c r="F60" s="222"/>
      <c r="G60" s="222"/>
      <c r="H60" s="231"/>
      <c r="I60" s="235" t="s">
        <v>806</v>
      </c>
      <c r="J60" s="150"/>
      <c r="K60" s="150"/>
      <c r="L60" s="222"/>
      <c r="M60" s="222"/>
      <c r="N60" s="222"/>
      <c r="O60" s="235" t="s">
        <v>961</v>
      </c>
      <c r="P60" s="227"/>
    </row>
    <row r="61" spans="4:22" s="154" customFormat="1" ht="20.100000000000001" customHeight="1" thickBot="1" x14ac:dyDescent="0.3">
      <c r="D61" s="222"/>
      <c r="E61" s="222"/>
      <c r="F61" s="222"/>
      <c r="G61" s="222"/>
      <c r="H61" s="232"/>
      <c r="I61" s="236" t="s">
        <v>810</v>
      </c>
      <c r="J61" s="237"/>
      <c r="K61" s="237"/>
      <c r="L61" s="228"/>
      <c r="M61" s="228"/>
      <c r="N61" s="237"/>
      <c r="O61" s="233"/>
      <c r="P61" s="230"/>
      <c r="V61" s="154" t="b">
        <f ca="1">R82</f>
        <v>1</v>
      </c>
    </row>
    <row r="62" spans="4:22" ht="15" customHeight="1" x14ac:dyDescent="0.25"/>
    <row r="63" spans="4:22" ht="15.6" hidden="1" customHeight="1" x14ac:dyDescent="0.25">
      <c r="D63" s="65"/>
      <c r="E63" s="65"/>
      <c r="F63" s="65"/>
      <c r="G63" s="65"/>
      <c r="H63" s="523" t="s">
        <v>964</v>
      </c>
      <c r="I63" s="524"/>
      <c r="J63" s="524"/>
      <c r="K63" s="524"/>
      <c r="L63" s="524"/>
      <c r="M63" s="524"/>
      <c r="N63" s="524"/>
      <c r="O63" s="524"/>
      <c r="P63" s="525"/>
    </row>
    <row r="64" spans="4:22" ht="15.6" hidden="1" customHeight="1" thickBot="1" x14ac:dyDescent="0.3">
      <c r="D64" s="65"/>
      <c r="E64" s="65"/>
      <c r="F64" s="65"/>
      <c r="G64" s="65"/>
      <c r="H64" s="557"/>
      <c r="I64" s="558"/>
      <c r="J64" s="558"/>
      <c r="K64" s="558"/>
      <c r="L64" s="558"/>
      <c r="M64" s="558"/>
      <c r="N64" s="558"/>
      <c r="O64" s="558"/>
      <c r="P64" s="559"/>
    </row>
    <row r="65" spans="3:18" ht="20.100000000000001" hidden="1" customHeight="1" x14ac:dyDescent="0.25">
      <c r="D65" s="65"/>
      <c r="E65" s="65"/>
      <c r="F65" s="65"/>
      <c r="G65" s="65"/>
      <c r="H65" s="223"/>
      <c r="I65" s="224" t="s">
        <v>845</v>
      </c>
      <c r="J65" s="225"/>
      <c r="K65" s="224"/>
      <c r="L65" s="224"/>
      <c r="M65" s="224"/>
      <c r="N65" s="224"/>
      <c r="O65" s="224" t="s">
        <v>853</v>
      </c>
      <c r="P65" s="226"/>
    </row>
    <row r="66" spans="3:18" ht="20.100000000000001" hidden="1" customHeight="1" x14ac:dyDescent="0.25">
      <c r="D66" s="65"/>
      <c r="E66" s="65"/>
      <c r="F66" s="65"/>
      <c r="G66" s="65"/>
      <c r="H66" s="231"/>
      <c r="I66" s="222" t="s">
        <v>847</v>
      </c>
      <c r="J66" s="154"/>
      <c r="K66" s="154"/>
      <c r="L66" s="222"/>
      <c r="M66" s="222"/>
      <c r="N66" s="222"/>
      <c r="O66" s="222" t="s">
        <v>855</v>
      </c>
      <c r="P66" s="227"/>
    </row>
    <row r="67" spans="3:18" ht="20.100000000000001" hidden="1" customHeight="1" x14ac:dyDescent="0.25">
      <c r="D67" s="65"/>
      <c r="E67" s="65"/>
      <c r="F67" s="65"/>
      <c r="G67" s="65"/>
      <c r="H67" s="231"/>
      <c r="I67" s="222" t="s">
        <v>848</v>
      </c>
      <c r="J67" s="154"/>
      <c r="K67" s="154"/>
      <c r="L67" s="222"/>
      <c r="M67" s="222"/>
      <c r="N67" s="222"/>
      <c r="O67" s="222" t="s">
        <v>856</v>
      </c>
      <c r="P67" s="227"/>
    </row>
    <row r="68" spans="3:18" ht="20.100000000000001" hidden="1" customHeight="1" x14ac:dyDescent="0.25">
      <c r="D68" s="65"/>
      <c r="E68" s="65"/>
      <c r="F68" s="65"/>
      <c r="G68" s="65"/>
      <c r="H68" s="231"/>
      <c r="I68" s="222" t="s">
        <v>849</v>
      </c>
      <c r="J68" s="154"/>
      <c r="K68" s="154"/>
      <c r="L68" s="222"/>
      <c r="M68" s="222"/>
      <c r="N68" s="222"/>
      <c r="O68" s="222" t="s">
        <v>857</v>
      </c>
      <c r="P68" s="227"/>
    </row>
    <row r="69" spans="3:18" ht="20.100000000000001" hidden="1" customHeight="1" x14ac:dyDescent="0.25">
      <c r="D69" s="65"/>
      <c r="E69" s="65"/>
      <c r="F69" s="65"/>
      <c r="G69" s="65"/>
      <c r="H69" s="231"/>
      <c r="I69" s="222" t="s">
        <v>850</v>
      </c>
      <c r="J69" s="154"/>
      <c r="K69" s="154"/>
      <c r="L69" s="222"/>
      <c r="M69" s="222"/>
      <c r="N69" s="222"/>
      <c r="O69" s="222" t="s">
        <v>858</v>
      </c>
      <c r="P69" s="227"/>
    </row>
    <row r="70" spans="3:18" ht="20.100000000000001" hidden="1" customHeight="1" thickBot="1" x14ac:dyDescent="0.3">
      <c r="D70" s="65"/>
      <c r="E70" s="65"/>
      <c r="F70" s="65"/>
      <c r="G70" s="65"/>
      <c r="H70" s="232"/>
      <c r="I70" s="228" t="s">
        <v>851</v>
      </c>
      <c r="J70" s="229"/>
      <c r="K70" s="229"/>
      <c r="L70" s="228"/>
      <c r="M70" s="228"/>
      <c r="N70" s="228"/>
      <c r="O70" s="228" t="s">
        <v>965</v>
      </c>
      <c r="P70" s="230"/>
    </row>
    <row r="71" spans="3:18" ht="15.6" hidden="1" customHeight="1" x14ac:dyDescent="0.25"/>
    <row r="72" spans="3:18" ht="15.6" hidden="1" customHeight="1" x14ac:dyDescent="0.25">
      <c r="C72" s="77" t="s">
        <v>863</v>
      </c>
      <c r="E72" s="77" t="s">
        <v>966</v>
      </c>
    </row>
    <row r="73" spans="3:18" ht="15.6" hidden="1" customHeight="1" x14ac:dyDescent="0.25">
      <c r="C73" s="47" t="b">
        <f ca="1">AND(V3:V14,F124:F131,N124:N126,N128:N131,R124:R127,R129,R76:R79,R81:R82)</f>
        <v>1</v>
      </c>
      <c r="E73" s="47" t="b">
        <v>1</v>
      </c>
    </row>
    <row r="74" spans="3:18" ht="15.6" hidden="1" customHeight="1" x14ac:dyDescent="0.25">
      <c r="C74" s="77" t="s">
        <v>967</v>
      </c>
      <c r="G74" s="77"/>
    </row>
    <row r="75" spans="3:18" ht="15.6" hidden="1" customHeight="1" x14ac:dyDescent="0.25">
      <c r="C75" s="78" t="b">
        <v>1</v>
      </c>
    </row>
    <row r="76" spans="3:18" ht="15.6" hidden="1" customHeight="1" x14ac:dyDescent="0.25">
      <c r="D76" s="77" t="s">
        <v>968</v>
      </c>
      <c r="N76" s="77" t="s">
        <v>969</v>
      </c>
      <c r="Q76" s="47" t="s">
        <v>970</v>
      </c>
      <c r="R76" s="47" t="b">
        <f>LEN(E121)&gt;0</f>
        <v>1</v>
      </c>
    </row>
    <row r="77" spans="3:18" ht="15.6" hidden="1" customHeight="1" x14ac:dyDescent="0.25">
      <c r="C77" s="78" t="b">
        <v>0</v>
      </c>
      <c r="E77" s="47" t="s">
        <v>723</v>
      </c>
      <c r="M77" s="78" t="b">
        <v>0</v>
      </c>
      <c r="O77" s="47" t="s">
        <v>725</v>
      </c>
      <c r="Q77" s="47" t="s">
        <v>971</v>
      </c>
      <c r="R77" s="47" t="b">
        <f>LEN(E98)&gt;0</f>
        <v>1</v>
      </c>
    </row>
    <row r="78" spans="3:18" ht="15.6" hidden="1" customHeight="1" x14ac:dyDescent="0.25">
      <c r="C78" s="78" t="b">
        <v>1</v>
      </c>
      <c r="E78" s="47" t="s">
        <v>742</v>
      </c>
      <c r="M78" s="78" t="b">
        <v>0</v>
      </c>
      <c r="O78" s="47" t="s">
        <v>744</v>
      </c>
      <c r="Q78" s="47" t="s">
        <v>972</v>
      </c>
      <c r="R78" s="47" t="b">
        <f>IF(LOWER(TRIM(demographics_level))="senior high school",TRUE,LEN(O98)&gt;0)</f>
        <v>1</v>
      </c>
    </row>
    <row r="79" spans="3:18" ht="15.6" hidden="1" customHeight="1" x14ac:dyDescent="0.25">
      <c r="C79" s="78" t="b">
        <v>0</v>
      </c>
      <c r="E79" s="47" t="s">
        <v>759</v>
      </c>
      <c r="M79" s="78" t="b">
        <v>0</v>
      </c>
      <c r="O79" s="47" t="s">
        <v>761</v>
      </c>
      <c r="Q79" s="47" t="s">
        <v>973</v>
      </c>
      <c r="R79" s="47" t="b">
        <f>IF(LOWER(TRIM(demographics_level))="senior high school",LEN(O115)&gt;0,TRUE)</f>
        <v>1</v>
      </c>
    </row>
    <row r="80" spans="3:18" ht="15.6" hidden="1" customHeight="1" x14ac:dyDescent="0.25">
      <c r="C80" s="78" t="b">
        <v>0</v>
      </c>
      <c r="E80" s="47" t="s">
        <v>771</v>
      </c>
      <c r="M80" s="78" t="b">
        <v>1</v>
      </c>
      <c r="O80" s="47" t="s">
        <v>742</v>
      </c>
    </row>
    <row r="81" spans="3:18" ht="15.6" hidden="1" customHeight="1" x14ac:dyDescent="0.25">
      <c r="C81" s="78" t="b">
        <v>0</v>
      </c>
      <c r="E81" s="47" t="s">
        <v>777</v>
      </c>
      <c r="M81" s="78" t="b">
        <v>0</v>
      </c>
      <c r="O81" s="47" t="s">
        <v>723</v>
      </c>
      <c r="Q81" s="47" t="str" cm="1">
        <f t="array" aca="1" ref="Q81" ca="1">CELL("address",O47)</f>
        <v>$O$47</v>
      </c>
      <c r="R81" s="47" t="b" cm="1">
        <f t="array" aca="1" ref="R81" ca="1">IF(AND(C93,LEN(TRIM(INDIRECT(Q81)))=0),FALSE,TRUE)</f>
        <v>1</v>
      </c>
    </row>
    <row r="82" spans="3:18" ht="15.6" hidden="1" customHeight="1" x14ac:dyDescent="0.25">
      <c r="C82" s="78" t="b">
        <v>0</v>
      </c>
      <c r="E82" s="47" t="s">
        <v>783</v>
      </c>
      <c r="M82" s="78" t="b">
        <v>0</v>
      </c>
      <c r="O82" s="47" t="s">
        <v>759</v>
      </c>
      <c r="Q82" s="47" t="str" cm="1">
        <f t="array" aca="1" ref="Q82" ca="1">CELL("address",O61)</f>
        <v>$O$61</v>
      </c>
      <c r="R82" s="47" t="b" cm="1">
        <f t="array" aca="1" ref="R82" ca="1">IF(LOWER(TRIM($R$10))="senior high school",TRUE,IF(AND(M96,LEN(TRIM(INDIRECT(Q82)))=0),FALSE,TRUE))</f>
        <v>1</v>
      </c>
    </row>
    <row r="83" spans="3:18" ht="15.6" hidden="1" customHeight="1" x14ac:dyDescent="0.25">
      <c r="C83" s="78" t="b">
        <v>0</v>
      </c>
      <c r="E83" s="47" t="s">
        <v>788</v>
      </c>
      <c r="M83" s="78" t="b">
        <v>0</v>
      </c>
      <c r="O83" s="47" t="s">
        <v>789</v>
      </c>
    </row>
    <row r="84" spans="3:18" ht="15.6" hidden="1" customHeight="1" x14ac:dyDescent="0.25">
      <c r="C84" s="78" t="b">
        <v>0</v>
      </c>
      <c r="E84" s="47" t="s">
        <v>794</v>
      </c>
      <c r="M84" s="78" t="b">
        <v>0</v>
      </c>
      <c r="O84" s="47" t="s">
        <v>795</v>
      </c>
    </row>
    <row r="85" spans="3:18" ht="15.6" hidden="1" customHeight="1" x14ac:dyDescent="0.25">
      <c r="C85" s="78" t="b">
        <v>0</v>
      </c>
      <c r="E85" s="47" t="s">
        <v>800</v>
      </c>
      <c r="M85" s="78" t="b">
        <v>0</v>
      </c>
      <c r="O85" s="47" t="s">
        <v>801</v>
      </c>
    </row>
    <row r="86" spans="3:18" ht="15.6" hidden="1" customHeight="1" x14ac:dyDescent="0.25">
      <c r="C86" s="78" t="b">
        <v>0</v>
      </c>
      <c r="E86" s="47" t="s">
        <v>805</v>
      </c>
      <c r="M86" s="78" t="b">
        <v>0</v>
      </c>
      <c r="O86" s="47" t="s">
        <v>806</v>
      </c>
    </row>
    <row r="87" spans="3:18" ht="15.6" hidden="1" customHeight="1" x14ac:dyDescent="0.25">
      <c r="C87" s="78" t="b">
        <v>0</v>
      </c>
      <c r="E87" s="47" t="s">
        <v>791</v>
      </c>
      <c r="M87" s="78" t="b">
        <v>0</v>
      </c>
      <c r="O87" s="47" t="s">
        <v>810</v>
      </c>
    </row>
    <row r="88" spans="3:18" ht="15.6" hidden="1" customHeight="1" x14ac:dyDescent="0.25">
      <c r="C88" s="78" t="b">
        <v>0</v>
      </c>
      <c r="E88" s="47" t="s">
        <v>810</v>
      </c>
      <c r="M88" s="78" t="b">
        <v>0</v>
      </c>
      <c r="O88" s="47" t="s">
        <v>814</v>
      </c>
    </row>
    <row r="89" spans="3:18" ht="15.6" hidden="1" customHeight="1" x14ac:dyDescent="0.25">
      <c r="C89" s="78" t="b">
        <v>0</v>
      </c>
      <c r="E89" s="47" t="s">
        <v>814</v>
      </c>
      <c r="M89" s="78" t="b">
        <v>0</v>
      </c>
      <c r="O89" s="47" t="s">
        <v>818</v>
      </c>
    </row>
    <row r="90" spans="3:18" ht="15.6" hidden="1" customHeight="1" x14ac:dyDescent="0.25">
      <c r="C90" s="78" t="b">
        <v>0</v>
      </c>
      <c r="E90" s="47" t="s">
        <v>818</v>
      </c>
      <c r="M90" s="78" t="b">
        <v>0</v>
      </c>
      <c r="O90" s="47" t="s">
        <v>822</v>
      </c>
    </row>
    <row r="91" spans="3:18" ht="15.6" hidden="1" customHeight="1" x14ac:dyDescent="0.25">
      <c r="C91" s="78" t="b">
        <v>0</v>
      </c>
      <c r="E91" s="47" t="s">
        <v>822</v>
      </c>
      <c r="M91" s="78" t="b">
        <v>0</v>
      </c>
      <c r="O91" s="47" t="s">
        <v>826</v>
      </c>
    </row>
    <row r="92" spans="3:18" ht="15.6" hidden="1" customHeight="1" x14ac:dyDescent="0.25">
      <c r="C92" s="78" t="b">
        <v>0</v>
      </c>
      <c r="E92" s="47" t="s">
        <v>829</v>
      </c>
      <c r="M92" s="78" t="b">
        <v>0</v>
      </c>
      <c r="O92" s="47" t="s">
        <v>830</v>
      </c>
    </row>
    <row r="93" spans="3:18" ht="15.6" hidden="1" customHeight="1" x14ac:dyDescent="0.25">
      <c r="C93" s="78" t="b">
        <v>0</v>
      </c>
      <c r="E93" s="47" t="str">
        <f>IF(ISBLANK(O47),"",O47)</f>
        <v/>
      </c>
      <c r="M93" s="78" t="b">
        <v>0</v>
      </c>
      <c r="O93" s="47" t="s">
        <v>833</v>
      </c>
    </row>
    <row r="94" spans="3:18" ht="15.6" hidden="1" customHeight="1" x14ac:dyDescent="0.25">
      <c r="M94" s="78" t="b">
        <v>0</v>
      </c>
      <c r="O94" s="47" t="s">
        <v>836</v>
      </c>
    </row>
    <row r="95" spans="3:18" ht="15.6" hidden="1" customHeight="1" x14ac:dyDescent="0.25">
      <c r="M95" s="78" t="b">
        <v>0</v>
      </c>
      <c r="O95" s="47" t="s">
        <v>838</v>
      </c>
    </row>
    <row r="96" spans="3:18" ht="15.6" hidden="1" customHeight="1" x14ac:dyDescent="0.25">
      <c r="M96" s="78" t="b">
        <v>0</v>
      </c>
      <c r="O96" s="47" t="str">
        <f>IF(ISBLANK(O61),"",O61)</f>
        <v/>
      </c>
    </row>
    <row r="97" spans="3:15" ht="15.6" hidden="1" customHeight="1" x14ac:dyDescent="0.25"/>
    <row r="98" spans="3:15" ht="15.6" hidden="1" customHeight="1" x14ac:dyDescent="0.25">
      <c r="E98" s="47" t="str" cm="1">
        <f t="array" ref="E98">Lookup_concat(TRUE,C77:C93,E77:E93)</f>
        <v>Filipino</v>
      </c>
      <c r="O98" s="47" t="str" cm="1">
        <f t="array" ref="O98">IFERROR(IF(LOWER(TRIM($F$14))="community-based learning center","ALS",IF(LOWER(TRIM($R$10))="kindergarten","Kindergarten",Lookup_concat(TRUE,M77:M96,O77:O96))),"")</f>
        <v>Filipino</v>
      </c>
    </row>
    <row r="99" spans="3:15" ht="15.6" hidden="1" customHeight="1" x14ac:dyDescent="0.25"/>
    <row r="100" spans="3:15" ht="15.6" hidden="1" customHeight="1" x14ac:dyDescent="0.25"/>
    <row r="101" spans="3:15" ht="15.6" hidden="1" customHeight="1" x14ac:dyDescent="0.25">
      <c r="E101" s="77" t="s">
        <v>974</v>
      </c>
      <c r="N101" s="77" t="s">
        <v>975</v>
      </c>
    </row>
    <row r="102" spans="3:15" ht="15.6" hidden="1" customHeight="1" x14ac:dyDescent="0.25">
      <c r="C102" s="78" t="b">
        <v>0</v>
      </c>
      <c r="E102" s="113" t="s">
        <v>791</v>
      </c>
      <c r="M102" s="78" t="b">
        <v>0</v>
      </c>
      <c r="O102" s="47" t="s">
        <v>845</v>
      </c>
    </row>
    <row r="103" spans="3:15" ht="15.6" hidden="1" customHeight="1" x14ac:dyDescent="0.25">
      <c r="C103" s="78" t="b">
        <v>0</v>
      </c>
      <c r="E103" s="113" t="s">
        <v>125</v>
      </c>
      <c r="M103" s="78" t="b">
        <v>0</v>
      </c>
      <c r="O103" s="47" t="s">
        <v>847</v>
      </c>
    </row>
    <row r="104" spans="3:15" ht="15.6" hidden="1" customHeight="1" x14ac:dyDescent="0.25">
      <c r="C104" s="78" t="b">
        <v>0</v>
      </c>
      <c r="E104" s="113">
        <v>1</v>
      </c>
      <c r="M104" s="78" t="b">
        <v>0</v>
      </c>
      <c r="O104" s="47" t="s">
        <v>848</v>
      </c>
    </row>
    <row r="105" spans="3:15" ht="15.6" hidden="1" customHeight="1" x14ac:dyDescent="0.25">
      <c r="C105" s="78" t="b">
        <v>0</v>
      </c>
      <c r="E105" s="113">
        <v>2</v>
      </c>
      <c r="M105" s="78" t="b">
        <v>0</v>
      </c>
      <c r="O105" s="47" t="s">
        <v>849</v>
      </c>
    </row>
    <row r="106" spans="3:15" ht="15.6" hidden="1" customHeight="1" x14ac:dyDescent="0.25">
      <c r="C106" s="78" t="b">
        <v>0</v>
      </c>
      <c r="E106" s="113">
        <v>3</v>
      </c>
      <c r="M106" s="78" t="b">
        <v>0</v>
      </c>
      <c r="O106" s="47" t="s">
        <v>850</v>
      </c>
    </row>
    <row r="107" spans="3:15" ht="15.6" hidden="1" customHeight="1" x14ac:dyDescent="0.25">
      <c r="C107" s="78" t="b">
        <v>0</v>
      </c>
      <c r="E107" s="113">
        <v>4</v>
      </c>
      <c r="M107" s="78" t="b">
        <v>0</v>
      </c>
      <c r="O107" s="47" t="s">
        <v>851</v>
      </c>
    </row>
    <row r="108" spans="3:15" ht="15.6" hidden="1" customHeight="1" x14ac:dyDescent="0.25">
      <c r="C108" s="78" t="b">
        <v>0</v>
      </c>
      <c r="E108" s="113">
        <v>5</v>
      </c>
      <c r="M108" s="78" t="b">
        <v>0</v>
      </c>
      <c r="O108" s="47" t="s">
        <v>853</v>
      </c>
    </row>
    <row r="109" spans="3:15" ht="15.6" hidden="1" customHeight="1" x14ac:dyDescent="0.25">
      <c r="C109" s="78" t="b">
        <v>0</v>
      </c>
      <c r="E109" s="113">
        <v>6</v>
      </c>
      <c r="M109" s="78" t="b">
        <v>0</v>
      </c>
      <c r="O109" s="47" t="s">
        <v>855</v>
      </c>
    </row>
    <row r="110" spans="3:15" ht="15.6" hidden="1" customHeight="1" x14ac:dyDescent="0.25">
      <c r="C110" s="78" t="b">
        <v>0</v>
      </c>
      <c r="E110" s="113" t="s">
        <v>798</v>
      </c>
      <c r="M110" s="78" t="b">
        <v>0</v>
      </c>
      <c r="O110" s="47" t="s">
        <v>856</v>
      </c>
    </row>
    <row r="111" spans="3:15" ht="15.6" hidden="1" customHeight="1" x14ac:dyDescent="0.25">
      <c r="C111" s="78" t="b">
        <v>0</v>
      </c>
      <c r="E111" s="113" t="s">
        <v>791</v>
      </c>
      <c r="M111" s="78" t="b">
        <v>0</v>
      </c>
      <c r="O111" s="47" t="s">
        <v>857</v>
      </c>
    </row>
    <row r="112" spans="3:15" ht="15.6" hidden="1" customHeight="1" x14ac:dyDescent="0.25">
      <c r="C112" s="78" t="b">
        <v>0</v>
      </c>
      <c r="E112" s="113">
        <v>7</v>
      </c>
      <c r="M112" s="78" t="b">
        <v>0</v>
      </c>
      <c r="O112" s="47" t="s">
        <v>858</v>
      </c>
    </row>
    <row r="113" spans="3:18" ht="15.6" hidden="1" customHeight="1" x14ac:dyDescent="0.25">
      <c r="C113" s="78" t="b">
        <v>0</v>
      </c>
      <c r="E113" s="113">
        <v>8</v>
      </c>
      <c r="M113" s="78" t="b">
        <v>0</v>
      </c>
      <c r="O113" s="47" t="s">
        <v>965</v>
      </c>
    </row>
    <row r="114" spans="3:18" ht="15.6" hidden="1" customHeight="1" x14ac:dyDescent="0.25">
      <c r="C114" s="78" t="b">
        <v>1</v>
      </c>
      <c r="E114" s="113">
        <v>9</v>
      </c>
    </row>
    <row r="115" spans="3:18" ht="15.6" hidden="1" customHeight="1" x14ac:dyDescent="0.25">
      <c r="C115" s="78" t="b">
        <v>0</v>
      </c>
      <c r="E115" s="113">
        <v>10</v>
      </c>
      <c r="O115" s="47" t="str" cm="1">
        <f t="array" ref="O115">Lookup_concat(TRUE,M102:M113,O102:O113)</f>
        <v/>
      </c>
    </row>
    <row r="116" spans="3:18" ht="15.6" hidden="1" customHeight="1" x14ac:dyDescent="0.25">
      <c r="C116" s="78" t="b">
        <v>0</v>
      </c>
      <c r="E116" s="113" t="s">
        <v>798</v>
      </c>
    </row>
    <row r="117" spans="3:18" ht="15.6" hidden="1" customHeight="1" x14ac:dyDescent="0.25">
      <c r="C117" s="78" t="b">
        <v>0</v>
      </c>
      <c r="E117" s="113">
        <v>11</v>
      </c>
    </row>
    <row r="118" spans="3:18" ht="15.6" hidden="1" customHeight="1" x14ac:dyDescent="0.25">
      <c r="C118" s="78" t="b">
        <v>0</v>
      </c>
      <c r="E118" s="113">
        <v>12</v>
      </c>
    </row>
    <row r="119" spans="3:18" ht="15.6" hidden="1" customHeight="1" x14ac:dyDescent="0.25">
      <c r="C119" s="78" t="b">
        <v>0</v>
      </c>
      <c r="E119" s="113" t="s">
        <v>798</v>
      </c>
    </row>
    <row r="120" spans="3:18" ht="15.6" hidden="1" customHeight="1" x14ac:dyDescent="0.25">
      <c r="E120" s="113"/>
    </row>
    <row r="121" spans="3:18" ht="15.6" hidden="1" customHeight="1" x14ac:dyDescent="0.25">
      <c r="E121" s="113" t="str" cm="1">
        <f t="array" ref="E121">IFERROR(IF(LOWER(TRIM($F$14))="community-based learning center",demographics_level,IF(LOWER(TRIM(demographics_level))="kindergarten","Kindergarten",IF(LOWER(TRIM(demographics_level))="elementary",Lookup_concat(TRUE,C102:C109,E102:E109,INT(C110)),IF(LOWER(TRIM(demographics_level))="junior high school",Lookup_concat(TRUE,C111:C115,E111:E115,INT(C116)),IF(LOWER(TRIM(demographics_level))="senior high school",Lookup_concat(TRUE,C117:C118,E117:E118,INT(C119)),""))))),"")</f>
        <v>9</v>
      </c>
    </row>
    <row r="122" spans="3:18" ht="15.6" hidden="1" customHeight="1" x14ac:dyDescent="0.25"/>
    <row r="123" spans="3:18" ht="15.6" hidden="1" customHeight="1" x14ac:dyDescent="0.25">
      <c r="F123" s="47" t="s">
        <v>976</v>
      </c>
    </row>
    <row r="124" spans="3:18" ht="15.6" hidden="1" customHeight="1" x14ac:dyDescent="0.25">
      <c r="E124" s="149" t="s">
        <v>977</v>
      </c>
      <c r="F124" s="135" t="b">
        <f ca="1">AND(NOT(ISBLANK(TRIM(F7))),V3)</f>
        <v>1</v>
      </c>
      <c r="G124" s="135"/>
      <c r="H124" s="135"/>
      <c r="I124" s="135"/>
      <c r="J124" s="135"/>
      <c r="K124" s="135"/>
      <c r="L124" s="135"/>
      <c r="M124" s="240" t="s">
        <v>978</v>
      </c>
      <c r="N124" s="138" t="b">
        <f>LEN(TRIM(N7))&gt;0</f>
        <v>1</v>
      </c>
      <c r="O124" s="135"/>
      <c r="P124" s="135"/>
      <c r="Q124" s="135" t="s">
        <v>979</v>
      </c>
      <c r="R124" s="135" t="b">
        <f ca="1">AND(NOT(ISBLANK(TRIM(R7))),V12)</f>
        <v>1</v>
      </c>
    </row>
    <row r="125" spans="3:18" ht="15.6" hidden="1" customHeight="1" x14ac:dyDescent="0.25">
      <c r="E125" s="149" t="s">
        <v>980</v>
      </c>
      <c r="F125" s="135" t="b">
        <f ca="1">AND(NOT(ISBLANK(TRIM(F8))),V4)</f>
        <v>1</v>
      </c>
      <c r="G125" s="135"/>
      <c r="H125" s="135"/>
      <c r="I125" s="135"/>
      <c r="J125" s="135"/>
      <c r="K125" s="135"/>
      <c r="L125" s="135"/>
      <c r="M125" s="240" t="s">
        <v>981</v>
      </c>
      <c r="N125" s="138" t="b">
        <f t="shared" ref="N125" si="1">LEN(TRIM(N8))&gt;0</f>
        <v>1</v>
      </c>
      <c r="O125" s="135"/>
      <c r="P125" s="135"/>
      <c r="Q125" s="135" t="s">
        <v>982</v>
      </c>
      <c r="R125" s="135" t="b">
        <f ca="1">AND(NOT(ISBLANK(TRIM(R8))),V13)</f>
        <v>1</v>
      </c>
    </row>
    <row r="126" spans="3:18" ht="15.6" hidden="1" customHeight="1" x14ac:dyDescent="0.25">
      <c r="E126" s="149" t="s">
        <v>983</v>
      </c>
      <c r="F126" s="135" t="b">
        <f>LEN(TRIM(F9))&gt;0</f>
        <v>1</v>
      </c>
      <c r="G126" s="135"/>
      <c r="H126" s="135"/>
      <c r="I126" s="135"/>
      <c r="J126" s="135"/>
      <c r="K126" s="135"/>
      <c r="L126" s="135"/>
      <c r="M126" s="240" t="s">
        <v>984</v>
      </c>
      <c r="N126" s="138" t="b">
        <v>1</v>
      </c>
      <c r="O126" s="135"/>
      <c r="P126" s="135"/>
      <c r="Q126" s="135"/>
      <c r="R126" s="135" t="b">
        <v>1</v>
      </c>
    </row>
    <row r="127" spans="3:18" ht="15.6" hidden="1" customHeight="1" x14ac:dyDescent="0.25">
      <c r="E127" s="149" t="s">
        <v>985</v>
      </c>
      <c r="F127" s="135" t="b">
        <f>IF($F$14=data1!$K$19,TRUE,LEN(TRIM(F10))&gt;0)</f>
        <v>1</v>
      </c>
      <c r="G127" s="135"/>
      <c r="H127" s="135"/>
      <c r="I127" s="135"/>
      <c r="J127" s="135"/>
      <c r="K127" s="135"/>
      <c r="L127" s="135"/>
      <c r="M127" s="240" t="s">
        <v>986</v>
      </c>
      <c r="N127" s="138" t="b">
        <f>LEN(TRIM(N10))&gt;0</f>
        <v>1</v>
      </c>
      <c r="O127" s="135"/>
      <c r="P127" s="135"/>
      <c r="Q127" s="135" t="s">
        <v>987</v>
      </c>
      <c r="R127" s="135" t="b">
        <f ca="1">AND(NOT(ISBLANK(TRIM(R10))),V14)</f>
        <v>1</v>
      </c>
    </row>
    <row r="128" spans="3:18" ht="15.6" hidden="1" customHeight="1" x14ac:dyDescent="0.25">
      <c r="E128" s="149" t="s">
        <v>988</v>
      </c>
      <c r="F128" s="135" t="b">
        <f t="shared" ref="F128" si="2">LEN(TRIM(F11))&gt;0</f>
        <v>1</v>
      </c>
      <c r="G128" s="135"/>
      <c r="H128" s="135"/>
      <c r="I128" s="135"/>
      <c r="J128" s="135"/>
      <c r="K128" s="135"/>
      <c r="L128" s="135"/>
      <c r="M128" s="240" t="s">
        <v>989</v>
      </c>
      <c r="N128" s="138" t="b">
        <f ca="1">AND(NOT(ISBLANK(TRIM(N11))),V8)</f>
        <v>1</v>
      </c>
      <c r="O128" s="135"/>
      <c r="P128" s="135"/>
      <c r="Q128" s="135" t="s">
        <v>990</v>
      </c>
      <c r="R128" s="135" t="b">
        <f>AND(LEN(TRIM(demographics_email))&gt;0,ISNUMBER(SEARCH("@deped.gov.ph",demographics_email)))</f>
        <v>1</v>
      </c>
    </row>
    <row r="129" spans="5:18" ht="15.6" hidden="1" customHeight="1" x14ac:dyDescent="0.25">
      <c r="E129" s="149" t="s">
        <v>991</v>
      </c>
      <c r="F129" s="135" t="b">
        <f ca="1">OR(AND(demographics_classification=data1!$K$19,ISBLANK(demographics_school_type)),AND(NOT(ISBLANK(TRIM(F12))),V5))</f>
        <v>1</v>
      </c>
      <c r="G129" s="135"/>
      <c r="H129" s="135"/>
      <c r="I129" s="135"/>
      <c r="J129" s="135"/>
      <c r="K129" s="135"/>
      <c r="L129" s="135"/>
      <c r="M129" s="240" t="s">
        <v>992</v>
      </c>
      <c r="N129" s="138" t="b">
        <f ca="1">AND(NOT(ISBLANK(TRIM(N12))),V9)</f>
        <v>1</v>
      </c>
      <c r="O129" s="135"/>
      <c r="P129" s="135"/>
      <c r="Q129" s="135" t="s">
        <v>948</v>
      </c>
      <c r="R129" s="135" t="b">
        <f>LEN(TRIM(demographic_TIN))=9</f>
        <v>1</v>
      </c>
    </row>
    <row r="130" spans="5:18" ht="15.6" hidden="1" customHeight="1" x14ac:dyDescent="0.25">
      <c r="E130" s="149" t="s">
        <v>993</v>
      </c>
      <c r="F130" s="135" t="b">
        <f ca="1">OR(AND(demographics_classification=data1!$K$19,ISBLANK(demographics_school_size)),AND(NOT(ISBLANK(TRIM(F13))),V6))</f>
        <v>1</v>
      </c>
      <c r="G130" s="135"/>
      <c r="H130" s="135"/>
      <c r="I130" s="135"/>
      <c r="J130" s="135"/>
      <c r="K130" s="135"/>
      <c r="L130" s="135"/>
      <c r="M130" s="240" t="s">
        <v>994</v>
      </c>
      <c r="N130" s="138" t="b">
        <f ca="1">AND(NOT(ISBLANK(TRIM(N13))),V10)</f>
        <v>1</v>
      </c>
      <c r="O130" s="135"/>
      <c r="P130" s="135"/>
      <c r="Q130" s="135"/>
      <c r="R130" s="135"/>
    </row>
    <row r="131" spans="5:18" ht="15.6" hidden="1" customHeight="1" x14ac:dyDescent="0.25">
      <c r="E131" s="149" t="s">
        <v>995</v>
      </c>
      <c r="F131" s="135" t="b">
        <f ca="1">AND(NOT(ISBLANK(TRIM(F14))),V7)</f>
        <v>1</v>
      </c>
      <c r="G131" s="135"/>
      <c r="H131" s="135"/>
      <c r="I131" s="135"/>
      <c r="J131" s="135"/>
      <c r="K131" s="135"/>
      <c r="L131" s="135"/>
      <c r="M131" s="240" t="s">
        <v>996</v>
      </c>
      <c r="N131" s="138" t="b">
        <f ca="1">AND(NOT(ISBLANK(TRIM(N14))),V11)</f>
        <v>1</v>
      </c>
      <c r="O131" s="135"/>
      <c r="P131" s="135"/>
      <c r="Q131" s="135"/>
      <c r="R131" s="135"/>
    </row>
    <row r="132" spans="5:18" ht="15.6" hidden="1" customHeight="1" x14ac:dyDescent="0.25">
      <c r="F132" s="135"/>
      <c r="G132" s="135"/>
      <c r="H132" s="135"/>
      <c r="I132" s="135"/>
      <c r="J132" s="135"/>
      <c r="K132" s="135"/>
      <c r="L132" s="135"/>
      <c r="M132" s="135"/>
      <c r="N132" s="138"/>
      <c r="O132" s="135"/>
      <c r="P132" s="135"/>
      <c r="Q132" s="135"/>
      <c r="R132" s="135"/>
    </row>
    <row r="134" spans="5:18" ht="24.6" customHeight="1" x14ac:dyDescent="0.25"/>
    <row r="136" spans="5:18" ht="20.100000000000001" customHeight="1" x14ac:dyDescent="0.25"/>
    <row r="142" spans="5:18" ht="15.6" customHeight="1" x14ac:dyDescent="0.25">
      <c r="E142" s="54"/>
    </row>
    <row r="143" spans="5:18" ht="15.6" customHeight="1" x14ac:dyDescent="0.25">
      <c r="E143" s="54"/>
    </row>
    <row r="144" spans="5:18" ht="15.6" customHeight="1" x14ac:dyDescent="0.25">
      <c r="E144" s="54"/>
    </row>
    <row r="145" spans="5:5" ht="15.6" customHeight="1" x14ac:dyDescent="0.25">
      <c r="E145" s="54"/>
    </row>
    <row r="146" spans="5:5" ht="15.6" customHeight="1" x14ac:dyDescent="0.25">
      <c r="E146" s="54"/>
    </row>
    <row r="147" spans="5:5" ht="15.6" customHeight="1" x14ac:dyDescent="0.25">
      <c r="E147" s="54"/>
    </row>
    <row r="148" spans="5:5" ht="15.6" customHeight="1" x14ac:dyDescent="0.25">
      <c r="E148" s="54"/>
    </row>
    <row r="149" spans="5:5" ht="15.6" customHeight="1" x14ac:dyDescent="0.25">
      <c r="E149" s="54"/>
    </row>
    <row r="150" spans="5:5" ht="15.6" customHeight="1" x14ac:dyDescent="0.25">
      <c r="E150" s="54"/>
    </row>
    <row r="151" spans="5:5" ht="15.6" customHeight="1" x14ac:dyDescent="0.25">
      <c r="E151" s="54"/>
    </row>
    <row r="152" spans="5:5" ht="15.6" customHeight="1" x14ac:dyDescent="0.25">
      <c r="E152" s="54"/>
    </row>
    <row r="153" spans="5:5" ht="15.6" customHeight="1" x14ac:dyDescent="0.25">
      <c r="E153" s="54"/>
    </row>
    <row r="154" spans="5:5" ht="15.6" customHeight="1" x14ac:dyDescent="0.25">
      <c r="E154" s="54"/>
    </row>
  </sheetData>
  <sheetProtection algorithmName="SHA-512" hashValue="bnFerDIZx4UGSbwMYrreBuCwTILS42nkcBcUyrnKp7kfhkv4EI+2Agj0AjyOK2/zJ6g63ZdXJcsZrbhcBiS0TA==" saltValue="IjrcnoOrRDRwSQws3G1y8w==" spinCount="100000" sheet="1" objects="1" scenarios="1" selectLockedCells="1"/>
  <mergeCells count="43">
    <mergeCell ref="H63:P64"/>
    <mergeCell ref="N12:O12"/>
    <mergeCell ref="N11:O11"/>
    <mergeCell ref="H17:P18"/>
    <mergeCell ref="H25:P26"/>
    <mergeCell ref="H32:P33"/>
    <mergeCell ref="F11:I11"/>
    <mergeCell ref="K12:M12"/>
    <mergeCell ref="H49:P50"/>
    <mergeCell ref="B1:S1"/>
    <mergeCell ref="B2:S2"/>
    <mergeCell ref="B3:S3"/>
    <mergeCell ref="B9:E9"/>
    <mergeCell ref="Q8:Q9"/>
    <mergeCell ref="K7:M7"/>
    <mergeCell ref="B8:E8"/>
    <mergeCell ref="B7:E7"/>
    <mergeCell ref="F9:I9"/>
    <mergeCell ref="F8:I8"/>
    <mergeCell ref="F7:I7"/>
    <mergeCell ref="N7:O7"/>
    <mergeCell ref="K8:M8"/>
    <mergeCell ref="K9:M9"/>
    <mergeCell ref="N8:O8"/>
    <mergeCell ref="N9:O9"/>
    <mergeCell ref="B37:C37"/>
    <mergeCell ref="H37:P38"/>
    <mergeCell ref="B13:E13"/>
    <mergeCell ref="B12:E12"/>
    <mergeCell ref="F14:I14"/>
    <mergeCell ref="F13:I13"/>
    <mergeCell ref="F12:I12"/>
    <mergeCell ref="B14:E14"/>
    <mergeCell ref="K13:M13"/>
    <mergeCell ref="K14:M14"/>
    <mergeCell ref="N13:O13"/>
    <mergeCell ref="N14:O14"/>
    <mergeCell ref="B11:E11"/>
    <mergeCell ref="B10:E10"/>
    <mergeCell ref="K11:M11"/>
    <mergeCell ref="K10:M10"/>
    <mergeCell ref="N10:O10"/>
    <mergeCell ref="F10:I10"/>
  </mergeCells>
  <conditionalFormatting sqref="F7:I14 O47 O61 N7:O14 R7:R12">
    <cfRule type="expression" dxfId="195" priority="5" stopIfTrue="1">
      <formula>TRUE</formula>
    </cfRule>
  </conditionalFormatting>
  <conditionalFormatting sqref="F7:F14 N7:N14 R7:R12">
    <cfRule type="expression" dxfId="194" priority="3">
      <formula>AND($C$75,NOT(F124))</formula>
    </cfRule>
  </conditionalFormatting>
  <conditionalFormatting sqref="O47 O61">
    <cfRule type="expression" dxfId="193" priority="4">
      <formula>AND($C$75,NOT(V47))</formula>
    </cfRule>
  </conditionalFormatting>
  <conditionalFormatting sqref="A1:XFD1048576">
    <cfRule type="expression" dxfId="192" priority="6">
      <formula>career_stage="HP"</formula>
    </cfRule>
    <cfRule type="expression" dxfId="191" priority="7">
      <formula>career_stage="P"</formula>
    </cfRule>
  </conditionalFormatting>
  <conditionalFormatting sqref="K7:O10 B14:I14 Q10:R10">
    <cfRule type="expression" dxfId="190" priority="2" stopIfTrue="1">
      <formula>profile_name_locked</formula>
    </cfRule>
  </conditionalFormatting>
  <dataValidations xWindow="1085" yWindow="474" count="23">
    <dataValidation allowBlank="1" showInputMessage="1" showErrorMessage="1" errorTitle="Invalid Input" error="Your ID number must be at least 6 digits/characters long." promptTitle="Employee ID" prompt="Type your DepEd Employee ID Number. Leave this blank if you have none." sqref="N10:O10" xr:uid="{7D811EFD-0F35-4718-86E7-19CAFF3EAD88}"/>
    <dataValidation type="list" allowBlank="1" showInputMessage="1" showErrorMessage="1" errorTitle="Invalid" error="Please select from the available drop-down options." promptTitle="Age" prompt="Select from the drop-down options." sqref="N13" xr:uid="{0DCB69D0-17DD-4DBA-BFA1-A78BA3D29716}">
      <formula1>age_list</formula1>
    </dataValidation>
    <dataValidation type="list" allowBlank="1" showInputMessage="1" showErrorMessage="1" errorTitle="Invalid" error="Please select from the available drop-down options." promptTitle="Employment Status" prompt="Select from the drop-down options." sqref="N12" xr:uid="{F75B5EA4-A461-4F7A-90D6-4B93B4895BD9}">
      <formula1>emp_status_list</formula1>
    </dataValidation>
    <dataValidation type="list" allowBlank="1" showInputMessage="1" showErrorMessage="1" errorTitle="Invalid" error="Please select from the available drop-down options." promptTitle="Position" prompt="Select from the drop-down options." sqref="N11:O11" xr:uid="{F134B8CF-F9B0-4D10-96DB-59BDDA42F241}">
      <formula1>IF(career_stage="HP",HP_positions,P_positions)</formula1>
    </dataValidation>
    <dataValidation type="list" allowBlank="1" showInputMessage="1" showErrorMessage="1" errorTitle="Invalid" error="Please select from the available drop-down options." promptTitle="Highest Degree Obtained" prompt="Select from the drop-down options." sqref="R8" xr:uid="{7B6C072F-9A66-4D35-B5CF-ABED59CD1BC5}">
      <formula1>degree_list</formula1>
    </dataValidation>
    <dataValidation type="list" allowBlank="1" showInputMessage="1" showErrorMessage="1" errorTitle="Invalid" error="Please select from the available drop-down options." promptTitle="Sex" prompt="Select from the drop-down options." sqref="N14" xr:uid="{ECD50540-F830-4F32-A9D4-2CFCDC0F40AC}">
      <formula1>sex_list</formula1>
    </dataValidation>
    <dataValidation type="list" allowBlank="1" showInputMessage="1" showErrorMessage="1" errorTitle="Invalid" error="Please select from the available drop-down options." promptTitle="Years in Teaching" prompt="(Public and Private)_x000a_Select from the drop-down options." sqref="R7" xr:uid="{C83B2BA5-DED0-40E1-B2DA-4114725F182A}">
      <formula1>years_in_teaching</formula1>
    </dataValidation>
    <dataValidation type="textLength" allowBlank="1" showInputMessage="1" showErrorMessage="1" errorTitle="Invalid Name" error="Your input is either too short or too long." promptTitle="Format" prompt="ALL CAPS:_x000a_MIDDLENAME" sqref="N9:O9" xr:uid="{C2E24384-67E7-460C-A93D-51F242DBF353}">
      <formula1>1</formula1>
      <formula2>256</formula2>
    </dataValidation>
    <dataValidation type="textLength" allowBlank="1" showInputMessage="1" showErrorMessage="1" errorTitle="Invalid" error="Your input is either too short or too long." promptTitle="School Name" prompt="Type in the name of your school." sqref="F11:I11" xr:uid="{5D260D7A-550F-4852-8C2B-0ABE236AB2C6}">
      <formula1>3</formula1>
      <formula2>256</formula2>
    </dataValidation>
    <dataValidation allowBlank="1" showInputMessage="1" showErrorMessage="1" promptTitle="Degree Obtained" prompt="Please specify." sqref="R9" xr:uid="{EA511C01-BCFD-4029-883F-89F3C78F2859}"/>
    <dataValidation type="whole" allowBlank="1" showInputMessage="1" showErrorMessage="1" errorTitle="Validation Error" error="Value should be between 3 to 7." sqref="N35 L47" xr:uid="{E7A460F2-7234-42AB-BC36-9186B0165812}">
      <formula1>3</formula1>
      <formula2>7</formula2>
    </dataValidation>
    <dataValidation type="list" allowBlank="1" showInputMessage="1" showErrorMessage="1" errorTitle="Invalid" error="Please select from the available drop-down options." promptTitle="School Size" prompt="Select from the drop-down options." sqref="F13:I13" xr:uid="{C819A3BB-F742-43D8-8199-37385300924D}">
      <formula1>school_size_list</formula1>
    </dataValidation>
    <dataValidation type="list" allowBlank="1" showInputMessage="1" showErrorMessage="1" errorTitle="Invalid" error="Please select from the available drop-down options." promptTitle="School Type" prompt="Select from the drop-down options." sqref="F12:I12" xr:uid="{CACBE3CB-600D-4864-9AEE-905E6D87FD13}">
      <formula1>school_type_list</formula1>
    </dataValidation>
    <dataValidation operator="greaterThanOrEqual" allowBlank="1" showInputMessage="1" showErrorMessage="1" errorTitle="Invalid Input" error="Your input is too short." promptTitle="Municipality" prompt="Type in the Municipality your school belongs to." sqref="F9:I9" xr:uid="{1C319912-0E10-4431-80B3-E874E832BC01}"/>
    <dataValidation type="list" allowBlank="1" showInputMessage="1" showErrorMessage="1" errorTitle="Invalid" error="Please select from the available drop-down options." promptTitle="Curricular Offering" prompt="Select from the drop-down options." sqref="F14:I14" xr:uid="{CEF9307D-140E-4443-92DA-5C850A63FF7A}">
      <formula1>curricular_classification_list</formula1>
    </dataValidation>
    <dataValidation type="list" allowBlank="1" showInputMessage="1" showErrorMessage="1" errorTitle="Invalid" error="Please select from the available drop-down options." promptTitle="Region" prompt="Select from the drop-down options." sqref="F7:I7" xr:uid="{4D739551-B236-4A48-B37F-38FD5260D526}">
      <formula1>regions_list</formula1>
    </dataValidation>
    <dataValidation type="whole" allowBlank="1" showInputMessage="1" showErrorMessage="1" errorTitle="Invalid School ID" error="Your input does not conform to the standard DepEd school ID." promptTitle="School ID" prompt="Type in your school ID. If your school does not have an ID yet, please use the ID of your mother school." sqref="F10:I10" xr:uid="{62CC6BFC-32E1-425A-A39A-5A655A2837B5}">
      <formula1>100000</formula1>
      <formula2>699999</formula2>
    </dataValidation>
    <dataValidation type="list" allowBlank="1" showInputMessage="1" showErrorMessage="1" promptTitle="Division" prompt="Select from the drop-down options." sqref="F8:I8" xr:uid="{180B6DA9-9F45-2041-8043-70AF3155CEFC}">
      <formula1>INDIRECT(VLOOKUP($F$7,regions_vlookup,3,FALSE))</formula1>
    </dataValidation>
    <dataValidation type="list" allowBlank="1" showInputMessage="1" showErrorMessage="1" errorTitle="Invalid Input" error="Please select from the drop-down options." promptTitle="Level Taught" prompt="Select from the drop-down options." sqref="R10" xr:uid="{CB4B5BB1-1AAB-4E7B-8353-5D6EE3B7C152}">
      <formula1>INDIRECT(VLOOKUP($F$14,curricular_classification_vlookup,2,FALSE))</formula1>
    </dataValidation>
    <dataValidation type="textLength" allowBlank="1" showInputMessage="1" showErrorMessage="1" errorTitle="Invalid Name" error="Your input is either too short or too long." promptTitle="Format" prompt="ALL CAPS:_x000a_FIRSTNAME_x000a_Include Suffixes here ex: Jr., II, III" sqref="N8:O8" xr:uid="{015D55A4-D199-CE47-9E03-F6842967FA45}">
      <formula1>1</formula1>
      <formula2>256</formula2>
    </dataValidation>
    <dataValidation type="textLength" allowBlank="1" showInputMessage="1" showErrorMessage="1" errorTitle="Invalid Name" error="Your input is either too short or too long." promptTitle="Format" prompt="ALL CAPS:_x000a_LASTNAME" sqref="N7:O7" xr:uid="{30281CD0-CC90-7042-B7FF-F530A8F794D4}">
      <formula1>1</formula1>
      <formula2>256</formula2>
    </dataValidation>
    <dataValidation allowBlank="1" showInputMessage="1" showErrorMessage="1" promptTitle="DepEd Email Address" prompt="Input your valid DepEd Email Address. Leave blank if you have none." sqref="R11" xr:uid="{59107010-BA80-D449-8BA6-5B10FEBBB673}"/>
    <dataValidation type="whole" allowBlank="1" showInputMessage="1" showErrorMessage="1" promptTitle="TIN" prompt="Input your Tax Identification Number (TIN)._x000a__x000a_ex: 123456789_x000a_9-digit TIN without spaces or dashes" sqref="R12" xr:uid="{6C85E358-38C6-44E6-95B4-87CCD70042B1}">
      <formula1>100000000</formula1>
      <formula2>999999999</formula2>
    </dataValidation>
  </dataValidations>
  <pageMargins left="0.7" right="0.7" top="0.75" bottom="0.75" header="0.3" footer="0.3"/>
  <pageSetup scale="67" orientation="landscape" verticalDpi="300" r:id="rId1"/>
  <ignoredErrors>
    <ignoredError sqref="F12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9486" r:id="rId4" name="BackToStart">
              <controlPr defaultSize="0" print="0" autoFill="0" autoPict="0" macro="[0]!Demographic_Profile.Cancel">
                <anchor moveWithCells="1" sizeWithCells="1">
                  <from>
                    <xdr:col>8</xdr:col>
                    <xdr:colOff>962025</xdr:colOff>
                    <xdr:row>133</xdr:row>
                    <xdr:rowOff>104775</xdr:rowOff>
                  </from>
                  <to>
                    <xdr:col>12</xdr:col>
                    <xdr:colOff>295275</xdr:colOff>
                    <xdr:row>136</xdr:row>
                    <xdr:rowOff>76200</xdr:rowOff>
                  </to>
                </anchor>
              </controlPr>
            </control>
          </mc:Choice>
        </mc:AlternateContent>
        <mc:AlternateContent xmlns:mc="http://schemas.openxmlformats.org/markup-compatibility/2006">
          <mc:Choice Requires="x14">
            <control shapeId="19487" r:id="rId5" name="ToPart2">
              <controlPr defaultSize="0" print="0" autoFill="0" autoPict="0" macro="[0]!Demographic_Profile.DemographicsNext">
                <anchor moveWithCells="1" sizeWithCells="1">
                  <from>
                    <xdr:col>13</xdr:col>
                    <xdr:colOff>66675</xdr:colOff>
                    <xdr:row>133</xdr:row>
                    <xdr:rowOff>104775</xdr:rowOff>
                  </from>
                  <to>
                    <xdr:col>14</xdr:col>
                    <xdr:colOff>1371600</xdr:colOff>
                    <xdr:row>136</xdr:row>
                    <xdr:rowOff>76200</xdr:rowOff>
                  </to>
                </anchor>
              </controlPr>
            </control>
          </mc:Choice>
        </mc:AlternateContent>
        <mc:AlternateContent xmlns:mc="http://schemas.openxmlformats.org/markup-compatibility/2006">
          <mc:Choice Requires="x14">
            <control shapeId="19559" r:id="rId6" name="elembox_01">
              <controlPr defaultSize="0" autoFill="0" autoLine="0" autoPict="0">
                <anchor moveWithCells="1">
                  <from>
                    <xdr:col>7</xdr:col>
                    <xdr:colOff>28575</xdr:colOff>
                    <xdr:row>18</xdr:row>
                    <xdr:rowOff>9525</xdr:rowOff>
                  </from>
                  <to>
                    <xdr:col>9</xdr:col>
                    <xdr:colOff>0</xdr:colOff>
                    <xdr:row>25</xdr:row>
                    <xdr:rowOff>9525</xdr:rowOff>
                  </to>
                </anchor>
              </controlPr>
            </control>
          </mc:Choice>
        </mc:AlternateContent>
        <mc:AlternateContent xmlns:mc="http://schemas.openxmlformats.org/markup-compatibility/2006">
          <mc:Choice Requires="x14">
            <control shapeId="19560" r:id="rId7" name="elembox_02">
              <controlPr defaultSize="0" autoFill="0" autoLine="0" autoPict="0">
                <anchor moveWithCells="1">
                  <from>
                    <xdr:col>7</xdr:col>
                    <xdr:colOff>28575</xdr:colOff>
                    <xdr:row>19</xdr:row>
                    <xdr:rowOff>9525</xdr:rowOff>
                  </from>
                  <to>
                    <xdr:col>9</xdr:col>
                    <xdr:colOff>0</xdr:colOff>
                    <xdr:row>25</xdr:row>
                    <xdr:rowOff>28575</xdr:rowOff>
                  </to>
                </anchor>
              </controlPr>
            </control>
          </mc:Choice>
        </mc:AlternateContent>
        <mc:AlternateContent xmlns:mc="http://schemas.openxmlformats.org/markup-compatibility/2006">
          <mc:Choice Requires="x14">
            <control shapeId="19561" r:id="rId8" name="elembox_03">
              <controlPr defaultSize="0" autoFill="0" autoLine="0" autoPict="0">
                <anchor moveWithCells="1">
                  <from>
                    <xdr:col>7</xdr:col>
                    <xdr:colOff>28575</xdr:colOff>
                    <xdr:row>20</xdr:row>
                    <xdr:rowOff>28575</xdr:rowOff>
                  </from>
                  <to>
                    <xdr:col>9</xdr:col>
                    <xdr:colOff>0</xdr:colOff>
                    <xdr:row>25</xdr:row>
                    <xdr:rowOff>28575</xdr:rowOff>
                  </to>
                </anchor>
              </controlPr>
            </control>
          </mc:Choice>
        </mc:AlternateContent>
        <mc:AlternateContent xmlns:mc="http://schemas.openxmlformats.org/markup-compatibility/2006">
          <mc:Choice Requires="x14">
            <control shapeId="19562" r:id="rId9" name="elembox_04">
              <controlPr defaultSize="0" autoFill="0" autoLine="0" autoPict="0">
                <anchor moveWithCells="1">
                  <from>
                    <xdr:col>7</xdr:col>
                    <xdr:colOff>28575</xdr:colOff>
                    <xdr:row>21</xdr:row>
                    <xdr:rowOff>28575</xdr:rowOff>
                  </from>
                  <to>
                    <xdr:col>9</xdr:col>
                    <xdr:colOff>0</xdr:colOff>
                    <xdr:row>25</xdr:row>
                    <xdr:rowOff>0</xdr:rowOff>
                  </to>
                </anchor>
              </controlPr>
            </control>
          </mc:Choice>
        </mc:AlternateContent>
        <mc:AlternateContent xmlns:mc="http://schemas.openxmlformats.org/markup-compatibility/2006">
          <mc:Choice Requires="x14">
            <control shapeId="19563" r:id="rId10" name="elembox_05">
              <controlPr defaultSize="0" autoFill="0" autoLine="0" autoPict="0">
                <anchor moveWithCells="1">
                  <from>
                    <xdr:col>7</xdr:col>
                    <xdr:colOff>28575</xdr:colOff>
                    <xdr:row>22</xdr:row>
                    <xdr:rowOff>28575</xdr:rowOff>
                  </from>
                  <to>
                    <xdr:col>9</xdr:col>
                    <xdr:colOff>0</xdr:colOff>
                    <xdr:row>25</xdr:row>
                    <xdr:rowOff>28575</xdr:rowOff>
                  </to>
                </anchor>
              </controlPr>
            </control>
          </mc:Choice>
        </mc:AlternateContent>
        <mc:AlternateContent xmlns:mc="http://schemas.openxmlformats.org/markup-compatibility/2006">
          <mc:Choice Requires="x14">
            <control shapeId="19564" r:id="rId11" name="elembox_06">
              <controlPr defaultSize="0" autoFill="0" autoLine="0" autoPict="0">
                <anchor moveWithCells="1">
                  <from>
                    <xdr:col>13</xdr:col>
                    <xdr:colOff>28575</xdr:colOff>
                    <xdr:row>18</xdr:row>
                    <xdr:rowOff>28575</xdr:rowOff>
                  </from>
                  <to>
                    <xdr:col>14</xdr:col>
                    <xdr:colOff>1095375</xdr:colOff>
                    <xdr:row>25</xdr:row>
                    <xdr:rowOff>0</xdr:rowOff>
                  </to>
                </anchor>
              </controlPr>
            </control>
          </mc:Choice>
        </mc:AlternateContent>
        <mc:AlternateContent xmlns:mc="http://schemas.openxmlformats.org/markup-compatibility/2006">
          <mc:Choice Requires="x14">
            <control shapeId="19565" r:id="rId12" name="elembox_07">
              <controlPr defaultSize="0" autoFill="0" autoLine="0" autoPict="0">
                <anchor moveWithCells="1">
                  <from>
                    <xdr:col>13</xdr:col>
                    <xdr:colOff>28575</xdr:colOff>
                    <xdr:row>19</xdr:row>
                    <xdr:rowOff>28575</xdr:rowOff>
                  </from>
                  <to>
                    <xdr:col>14</xdr:col>
                    <xdr:colOff>1095375</xdr:colOff>
                    <xdr:row>25</xdr:row>
                    <xdr:rowOff>0</xdr:rowOff>
                  </to>
                </anchor>
              </controlPr>
            </control>
          </mc:Choice>
        </mc:AlternateContent>
        <mc:AlternateContent xmlns:mc="http://schemas.openxmlformats.org/markup-compatibility/2006">
          <mc:Choice Requires="x14">
            <control shapeId="19566" r:id="rId13" name="elembox_08">
              <controlPr defaultSize="0" autoFill="0" autoLine="0" autoPict="0">
                <anchor moveWithCells="1">
                  <from>
                    <xdr:col>13</xdr:col>
                    <xdr:colOff>28575</xdr:colOff>
                    <xdr:row>20</xdr:row>
                    <xdr:rowOff>28575</xdr:rowOff>
                  </from>
                  <to>
                    <xdr:col>14</xdr:col>
                    <xdr:colOff>1095375</xdr:colOff>
                    <xdr:row>25</xdr:row>
                    <xdr:rowOff>9525</xdr:rowOff>
                  </to>
                </anchor>
              </controlPr>
            </control>
          </mc:Choice>
        </mc:AlternateContent>
        <mc:AlternateContent xmlns:mc="http://schemas.openxmlformats.org/markup-compatibility/2006">
          <mc:Choice Requires="x14">
            <control shapeId="19567" r:id="rId14" name="elembox_09">
              <controlPr defaultSize="0" autoFill="0" autoLine="0" autoPict="0">
                <anchor moveWithCells="1">
                  <from>
                    <xdr:col>13</xdr:col>
                    <xdr:colOff>28575</xdr:colOff>
                    <xdr:row>21</xdr:row>
                    <xdr:rowOff>28575</xdr:rowOff>
                  </from>
                  <to>
                    <xdr:col>14</xdr:col>
                    <xdr:colOff>1095375</xdr:colOff>
                    <xdr:row>24</xdr:row>
                    <xdr:rowOff>180975</xdr:rowOff>
                  </to>
                </anchor>
              </controlPr>
            </control>
          </mc:Choice>
        </mc:AlternateContent>
        <mc:AlternateContent xmlns:mc="http://schemas.openxmlformats.org/markup-compatibility/2006">
          <mc:Choice Requires="x14">
            <control shapeId="19569" r:id="rId15" name="jhsbox_01">
              <controlPr defaultSize="0" autoFill="0" autoLine="0" autoPict="0">
                <anchor moveWithCells="1">
                  <from>
                    <xdr:col>7</xdr:col>
                    <xdr:colOff>28575</xdr:colOff>
                    <xdr:row>26</xdr:row>
                    <xdr:rowOff>28575</xdr:rowOff>
                  </from>
                  <to>
                    <xdr:col>9</xdr:col>
                    <xdr:colOff>0</xdr:colOff>
                    <xdr:row>26</xdr:row>
                    <xdr:rowOff>228600</xdr:rowOff>
                  </to>
                </anchor>
              </controlPr>
            </control>
          </mc:Choice>
        </mc:AlternateContent>
        <mc:AlternateContent xmlns:mc="http://schemas.openxmlformats.org/markup-compatibility/2006">
          <mc:Choice Requires="x14">
            <control shapeId="19570" r:id="rId16" name="jhsbox_02">
              <controlPr defaultSize="0" autoFill="0" autoLine="0" autoPict="0">
                <anchor moveWithCells="1">
                  <from>
                    <xdr:col>7</xdr:col>
                    <xdr:colOff>28575</xdr:colOff>
                    <xdr:row>27</xdr:row>
                    <xdr:rowOff>28575</xdr:rowOff>
                  </from>
                  <to>
                    <xdr:col>9</xdr:col>
                    <xdr:colOff>0</xdr:colOff>
                    <xdr:row>27</xdr:row>
                    <xdr:rowOff>228600</xdr:rowOff>
                  </to>
                </anchor>
              </controlPr>
            </control>
          </mc:Choice>
        </mc:AlternateContent>
        <mc:AlternateContent xmlns:mc="http://schemas.openxmlformats.org/markup-compatibility/2006">
          <mc:Choice Requires="x14">
            <control shapeId="19571" r:id="rId17" name="jhsbox_03">
              <controlPr defaultSize="0" autoFill="0" autoLine="0" autoPict="0">
                <anchor moveWithCells="1">
                  <from>
                    <xdr:col>7</xdr:col>
                    <xdr:colOff>28575</xdr:colOff>
                    <xdr:row>28</xdr:row>
                    <xdr:rowOff>28575</xdr:rowOff>
                  </from>
                  <to>
                    <xdr:col>9</xdr:col>
                    <xdr:colOff>0</xdr:colOff>
                    <xdr:row>28</xdr:row>
                    <xdr:rowOff>228600</xdr:rowOff>
                  </to>
                </anchor>
              </controlPr>
            </control>
          </mc:Choice>
        </mc:AlternateContent>
        <mc:AlternateContent xmlns:mc="http://schemas.openxmlformats.org/markup-compatibility/2006">
          <mc:Choice Requires="x14">
            <control shapeId="19573" r:id="rId18" name="jhsbox_04">
              <controlPr defaultSize="0" autoFill="0" autoLine="0" autoPict="0">
                <anchor moveWithCells="1">
                  <from>
                    <xdr:col>13</xdr:col>
                    <xdr:colOff>28575</xdr:colOff>
                    <xdr:row>26</xdr:row>
                    <xdr:rowOff>28575</xdr:rowOff>
                  </from>
                  <to>
                    <xdr:col>14</xdr:col>
                    <xdr:colOff>1095375</xdr:colOff>
                    <xdr:row>26</xdr:row>
                    <xdr:rowOff>219075</xdr:rowOff>
                  </to>
                </anchor>
              </controlPr>
            </control>
          </mc:Choice>
        </mc:AlternateContent>
        <mc:AlternateContent xmlns:mc="http://schemas.openxmlformats.org/markup-compatibility/2006">
          <mc:Choice Requires="x14">
            <control shapeId="19574" r:id="rId19" name="jhsbox_05">
              <controlPr defaultSize="0" autoFill="0" autoLine="0" autoPict="0">
                <anchor moveWithCells="1">
                  <from>
                    <xdr:col>13</xdr:col>
                    <xdr:colOff>28575</xdr:colOff>
                    <xdr:row>27</xdr:row>
                    <xdr:rowOff>28575</xdr:rowOff>
                  </from>
                  <to>
                    <xdr:col>14</xdr:col>
                    <xdr:colOff>1095375</xdr:colOff>
                    <xdr:row>27</xdr:row>
                    <xdr:rowOff>228600</xdr:rowOff>
                  </to>
                </anchor>
              </controlPr>
            </control>
          </mc:Choice>
        </mc:AlternateContent>
        <mc:AlternateContent xmlns:mc="http://schemas.openxmlformats.org/markup-compatibility/2006">
          <mc:Choice Requires="x14">
            <control shapeId="19575" r:id="rId20" name="jhsbox_06">
              <controlPr defaultSize="0" autoFill="0" autoLine="0" autoPict="0">
                <anchor moveWithCells="1">
                  <from>
                    <xdr:col>13</xdr:col>
                    <xdr:colOff>28575</xdr:colOff>
                    <xdr:row>28</xdr:row>
                    <xdr:rowOff>28575</xdr:rowOff>
                  </from>
                  <to>
                    <xdr:col>14</xdr:col>
                    <xdr:colOff>1095375</xdr:colOff>
                    <xdr:row>28</xdr:row>
                    <xdr:rowOff>219075</xdr:rowOff>
                  </to>
                </anchor>
              </controlPr>
            </control>
          </mc:Choice>
        </mc:AlternateContent>
        <mc:AlternateContent xmlns:mc="http://schemas.openxmlformats.org/markup-compatibility/2006">
          <mc:Choice Requires="x14">
            <control shapeId="19577" r:id="rId21" name="shsbox_01">
              <controlPr defaultSize="0" autoFill="0" autoLine="0" autoPict="0">
                <anchor moveWithCells="1">
                  <from>
                    <xdr:col>7</xdr:col>
                    <xdr:colOff>28575</xdr:colOff>
                    <xdr:row>33</xdr:row>
                    <xdr:rowOff>9525</xdr:rowOff>
                  </from>
                  <to>
                    <xdr:col>9</xdr:col>
                    <xdr:colOff>0</xdr:colOff>
                    <xdr:row>36</xdr:row>
                    <xdr:rowOff>228600</xdr:rowOff>
                  </to>
                </anchor>
              </controlPr>
            </control>
          </mc:Choice>
        </mc:AlternateContent>
        <mc:AlternateContent xmlns:mc="http://schemas.openxmlformats.org/markup-compatibility/2006">
          <mc:Choice Requires="x14">
            <control shapeId="19578" r:id="rId22" name="shsbox_02">
              <controlPr defaultSize="0" autoFill="0" autoLine="0" autoPict="0">
                <anchor moveWithCells="1">
                  <from>
                    <xdr:col>7</xdr:col>
                    <xdr:colOff>28575</xdr:colOff>
                    <xdr:row>34</xdr:row>
                    <xdr:rowOff>9525</xdr:rowOff>
                  </from>
                  <to>
                    <xdr:col>9</xdr:col>
                    <xdr:colOff>0</xdr:colOff>
                    <xdr:row>36</xdr:row>
                    <xdr:rowOff>228600</xdr:rowOff>
                  </to>
                </anchor>
              </controlPr>
            </control>
          </mc:Choice>
        </mc:AlternateContent>
        <mc:AlternateContent xmlns:mc="http://schemas.openxmlformats.org/markup-compatibility/2006">
          <mc:Choice Requires="x14">
            <control shapeId="19579" r:id="rId23" name="shsbox_03">
              <controlPr defaultSize="0" autoFill="0" autoLine="0" autoPict="0">
                <anchor moveWithCells="1">
                  <from>
                    <xdr:col>13</xdr:col>
                    <xdr:colOff>28575</xdr:colOff>
                    <xdr:row>33</xdr:row>
                    <xdr:rowOff>9525</xdr:rowOff>
                  </from>
                  <to>
                    <xdr:col>14</xdr:col>
                    <xdr:colOff>1095375</xdr:colOff>
                    <xdr:row>36</xdr:row>
                    <xdr:rowOff>228600</xdr:rowOff>
                  </to>
                </anchor>
              </controlPr>
            </control>
          </mc:Choice>
        </mc:AlternateContent>
        <mc:AlternateContent xmlns:mc="http://schemas.openxmlformats.org/markup-compatibility/2006">
          <mc:Choice Requires="x14">
            <control shapeId="19580" r:id="rId24" name="specialization_01">
              <controlPr defaultSize="0" autoFill="0" autoLine="0" autoPict="0">
                <anchor moveWithCells="1">
                  <from>
                    <xdr:col>7</xdr:col>
                    <xdr:colOff>28575</xdr:colOff>
                    <xdr:row>38</xdr:row>
                    <xdr:rowOff>9525</xdr:rowOff>
                  </from>
                  <to>
                    <xdr:col>9</xdr:col>
                    <xdr:colOff>0</xdr:colOff>
                    <xdr:row>38</xdr:row>
                    <xdr:rowOff>238125</xdr:rowOff>
                  </to>
                </anchor>
              </controlPr>
            </control>
          </mc:Choice>
        </mc:AlternateContent>
        <mc:AlternateContent xmlns:mc="http://schemas.openxmlformats.org/markup-compatibility/2006">
          <mc:Choice Requires="x14">
            <control shapeId="19581" r:id="rId25" name="specialization_02">
              <controlPr defaultSize="0" autoFill="0" autoLine="0" autoPict="0">
                <anchor moveWithCells="1">
                  <from>
                    <xdr:col>7</xdr:col>
                    <xdr:colOff>28575</xdr:colOff>
                    <xdr:row>39</xdr:row>
                    <xdr:rowOff>9525</xdr:rowOff>
                  </from>
                  <to>
                    <xdr:col>9</xdr:col>
                    <xdr:colOff>0</xdr:colOff>
                    <xdr:row>39</xdr:row>
                    <xdr:rowOff>238125</xdr:rowOff>
                  </to>
                </anchor>
              </controlPr>
            </control>
          </mc:Choice>
        </mc:AlternateContent>
        <mc:AlternateContent xmlns:mc="http://schemas.openxmlformats.org/markup-compatibility/2006">
          <mc:Choice Requires="x14">
            <control shapeId="19582" r:id="rId26" name="specialization_03">
              <controlPr defaultSize="0" autoFill="0" autoLine="0" autoPict="0">
                <anchor moveWithCells="1">
                  <from>
                    <xdr:col>7</xdr:col>
                    <xdr:colOff>28575</xdr:colOff>
                    <xdr:row>40</xdr:row>
                    <xdr:rowOff>9525</xdr:rowOff>
                  </from>
                  <to>
                    <xdr:col>9</xdr:col>
                    <xdr:colOff>0</xdr:colOff>
                    <xdr:row>40</xdr:row>
                    <xdr:rowOff>238125</xdr:rowOff>
                  </to>
                </anchor>
              </controlPr>
            </control>
          </mc:Choice>
        </mc:AlternateContent>
        <mc:AlternateContent xmlns:mc="http://schemas.openxmlformats.org/markup-compatibility/2006">
          <mc:Choice Requires="x14">
            <control shapeId="19583" r:id="rId27" name="specialization_04">
              <controlPr defaultSize="0" autoFill="0" autoLine="0" autoPict="0">
                <anchor moveWithCells="1">
                  <from>
                    <xdr:col>7</xdr:col>
                    <xdr:colOff>28575</xdr:colOff>
                    <xdr:row>41</xdr:row>
                    <xdr:rowOff>9525</xdr:rowOff>
                  </from>
                  <to>
                    <xdr:col>9</xdr:col>
                    <xdr:colOff>0</xdr:colOff>
                    <xdr:row>41</xdr:row>
                    <xdr:rowOff>238125</xdr:rowOff>
                  </to>
                </anchor>
              </controlPr>
            </control>
          </mc:Choice>
        </mc:AlternateContent>
        <mc:AlternateContent xmlns:mc="http://schemas.openxmlformats.org/markup-compatibility/2006">
          <mc:Choice Requires="x14">
            <control shapeId="19584" r:id="rId28" name="specialization_05">
              <controlPr defaultSize="0" autoFill="0" autoLine="0" autoPict="0">
                <anchor moveWithCells="1">
                  <from>
                    <xdr:col>7</xdr:col>
                    <xdr:colOff>28575</xdr:colOff>
                    <xdr:row>42</xdr:row>
                    <xdr:rowOff>9525</xdr:rowOff>
                  </from>
                  <to>
                    <xdr:col>9</xdr:col>
                    <xdr:colOff>0</xdr:colOff>
                    <xdr:row>42</xdr:row>
                    <xdr:rowOff>238125</xdr:rowOff>
                  </to>
                </anchor>
              </controlPr>
            </control>
          </mc:Choice>
        </mc:AlternateContent>
        <mc:AlternateContent xmlns:mc="http://schemas.openxmlformats.org/markup-compatibility/2006">
          <mc:Choice Requires="x14">
            <control shapeId="19585" r:id="rId29" name="specialization_06">
              <controlPr defaultSize="0" autoFill="0" autoLine="0" autoPict="0">
                <anchor moveWithCells="1">
                  <from>
                    <xdr:col>7</xdr:col>
                    <xdr:colOff>28575</xdr:colOff>
                    <xdr:row>43</xdr:row>
                    <xdr:rowOff>9525</xdr:rowOff>
                  </from>
                  <to>
                    <xdr:col>9</xdr:col>
                    <xdr:colOff>0</xdr:colOff>
                    <xdr:row>43</xdr:row>
                    <xdr:rowOff>238125</xdr:rowOff>
                  </to>
                </anchor>
              </controlPr>
            </control>
          </mc:Choice>
        </mc:AlternateContent>
        <mc:AlternateContent xmlns:mc="http://schemas.openxmlformats.org/markup-compatibility/2006">
          <mc:Choice Requires="x14">
            <control shapeId="19586" r:id="rId30" name="specialization_07">
              <controlPr defaultSize="0" autoFill="0" autoLine="0" autoPict="0">
                <anchor moveWithCells="1">
                  <from>
                    <xdr:col>7</xdr:col>
                    <xdr:colOff>28575</xdr:colOff>
                    <xdr:row>44</xdr:row>
                    <xdr:rowOff>9525</xdr:rowOff>
                  </from>
                  <to>
                    <xdr:col>9</xdr:col>
                    <xdr:colOff>0</xdr:colOff>
                    <xdr:row>44</xdr:row>
                    <xdr:rowOff>238125</xdr:rowOff>
                  </to>
                </anchor>
              </controlPr>
            </control>
          </mc:Choice>
        </mc:AlternateContent>
        <mc:AlternateContent xmlns:mc="http://schemas.openxmlformats.org/markup-compatibility/2006">
          <mc:Choice Requires="x14">
            <control shapeId="19587" r:id="rId31" name="specialization_08">
              <controlPr defaultSize="0" autoFill="0" autoLine="0" autoPict="0">
                <anchor moveWithCells="1">
                  <from>
                    <xdr:col>7</xdr:col>
                    <xdr:colOff>28575</xdr:colOff>
                    <xdr:row>45</xdr:row>
                    <xdr:rowOff>9525</xdr:rowOff>
                  </from>
                  <to>
                    <xdr:col>9</xdr:col>
                    <xdr:colOff>0</xdr:colOff>
                    <xdr:row>45</xdr:row>
                    <xdr:rowOff>238125</xdr:rowOff>
                  </to>
                </anchor>
              </controlPr>
            </control>
          </mc:Choice>
        </mc:AlternateContent>
        <mc:AlternateContent xmlns:mc="http://schemas.openxmlformats.org/markup-compatibility/2006">
          <mc:Choice Requires="x14">
            <control shapeId="19588" r:id="rId32" name="specialization_09">
              <controlPr defaultSize="0" autoFill="0" autoLine="0" autoPict="0">
                <anchor moveWithCells="1">
                  <from>
                    <xdr:col>7</xdr:col>
                    <xdr:colOff>28575</xdr:colOff>
                    <xdr:row>46</xdr:row>
                    <xdr:rowOff>9525</xdr:rowOff>
                  </from>
                  <to>
                    <xdr:col>9</xdr:col>
                    <xdr:colOff>0</xdr:colOff>
                    <xdr:row>46</xdr:row>
                    <xdr:rowOff>238125</xdr:rowOff>
                  </to>
                </anchor>
              </controlPr>
            </control>
          </mc:Choice>
        </mc:AlternateContent>
        <mc:AlternateContent xmlns:mc="http://schemas.openxmlformats.org/markup-compatibility/2006">
          <mc:Choice Requires="x14">
            <control shapeId="19589" r:id="rId33" name="specialization_10">
              <controlPr defaultSize="0" autoFill="0" autoLine="0" autoPict="0">
                <anchor moveWithCells="1">
                  <from>
                    <xdr:col>13</xdr:col>
                    <xdr:colOff>28575</xdr:colOff>
                    <xdr:row>38</xdr:row>
                    <xdr:rowOff>9525</xdr:rowOff>
                  </from>
                  <to>
                    <xdr:col>14</xdr:col>
                    <xdr:colOff>1095375</xdr:colOff>
                    <xdr:row>38</xdr:row>
                    <xdr:rowOff>238125</xdr:rowOff>
                  </to>
                </anchor>
              </controlPr>
            </control>
          </mc:Choice>
        </mc:AlternateContent>
        <mc:AlternateContent xmlns:mc="http://schemas.openxmlformats.org/markup-compatibility/2006">
          <mc:Choice Requires="x14">
            <control shapeId="19590" r:id="rId34" name="specialization_11">
              <controlPr defaultSize="0" autoFill="0" autoLine="0" autoPict="0">
                <anchor moveWithCells="1">
                  <from>
                    <xdr:col>13</xdr:col>
                    <xdr:colOff>28575</xdr:colOff>
                    <xdr:row>39</xdr:row>
                    <xdr:rowOff>9525</xdr:rowOff>
                  </from>
                  <to>
                    <xdr:col>14</xdr:col>
                    <xdr:colOff>1095375</xdr:colOff>
                    <xdr:row>39</xdr:row>
                    <xdr:rowOff>238125</xdr:rowOff>
                  </to>
                </anchor>
              </controlPr>
            </control>
          </mc:Choice>
        </mc:AlternateContent>
        <mc:AlternateContent xmlns:mc="http://schemas.openxmlformats.org/markup-compatibility/2006">
          <mc:Choice Requires="x14">
            <control shapeId="19591" r:id="rId35" name="specialization_12">
              <controlPr defaultSize="0" autoFill="0" autoLine="0" autoPict="0">
                <anchor moveWithCells="1">
                  <from>
                    <xdr:col>13</xdr:col>
                    <xdr:colOff>28575</xdr:colOff>
                    <xdr:row>40</xdr:row>
                    <xdr:rowOff>9525</xdr:rowOff>
                  </from>
                  <to>
                    <xdr:col>14</xdr:col>
                    <xdr:colOff>1095375</xdr:colOff>
                    <xdr:row>40</xdr:row>
                    <xdr:rowOff>238125</xdr:rowOff>
                  </to>
                </anchor>
              </controlPr>
            </control>
          </mc:Choice>
        </mc:AlternateContent>
        <mc:AlternateContent xmlns:mc="http://schemas.openxmlformats.org/markup-compatibility/2006">
          <mc:Choice Requires="x14">
            <control shapeId="19592" r:id="rId36" name="specialization_13">
              <controlPr defaultSize="0" autoFill="0" autoLine="0" autoPict="0">
                <anchor moveWithCells="1">
                  <from>
                    <xdr:col>13</xdr:col>
                    <xdr:colOff>28575</xdr:colOff>
                    <xdr:row>41</xdr:row>
                    <xdr:rowOff>9525</xdr:rowOff>
                  </from>
                  <to>
                    <xdr:col>14</xdr:col>
                    <xdr:colOff>1095375</xdr:colOff>
                    <xdr:row>41</xdr:row>
                    <xdr:rowOff>238125</xdr:rowOff>
                  </to>
                </anchor>
              </controlPr>
            </control>
          </mc:Choice>
        </mc:AlternateContent>
        <mc:AlternateContent xmlns:mc="http://schemas.openxmlformats.org/markup-compatibility/2006">
          <mc:Choice Requires="x14">
            <control shapeId="19593" r:id="rId37" name="specialization_14">
              <controlPr defaultSize="0" autoFill="0" autoLine="0" autoPict="0">
                <anchor moveWithCells="1">
                  <from>
                    <xdr:col>13</xdr:col>
                    <xdr:colOff>28575</xdr:colOff>
                    <xdr:row>42</xdr:row>
                    <xdr:rowOff>9525</xdr:rowOff>
                  </from>
                  <to>
                    <xdr:col>14</xdr:col>
                    <xdr:colOff>1095375</xdr:colOff>
                    <xdr:row>42</xdr:row>
                    <xdr:rowOff>238125</xdr:rowOff>
                  </to>
                </anchor>
              </controlPr>
            </control>
          </mc:Choice>
        </mc:AlternateContent>
        <mc:AlternateContent xmlns:mc="http://schemas.openxmlformats.org/markup-compatibility/2006">
          <mc:Choice Requires="x14">
            <control shapeId="19594" r:id="rId38" name="specialization_15">
              <controlPr defaultSize="0" autoFill="0" autoLine="0" autoPict="0">
                <anchor moveWithCells="1">
                  <from>
                    <xdr:col>13</xdr:col>
                    <xdr:colOff>28575</xdr:colOff>
                    <xdr:row>43</xdr:row>
                    <xdr:rowOff>9525</xdr:rowOff>
                  </from>
                  <to>
                    <xdr:col>14</xdr:col>
                    <xdr:colOff>1095375</xdr:colOff>
                    <xdr:row>43</xdr:row>
                    <xdr:rowOff>238125</xdr:rowOff>
                  </to>
                </anchor>
              </controlPr>
            </control>
          </mc:Choice>
        </mc:AlternateContent>
        <mc:AlternateContent xmlns:mc="http://schemas.openxmlformats.org/markup-compatibility/2006">
          <mc:Choice Requires="x14">
            <control shapeId="19595" r:id="rId39" name="specialization_16">
              <controlPr defaultSize="0" autoFill="0" autoLine="0" autoPict="0">
                <anchor moveWithCells="1">
                  <from>
                    <xdr:col>13</xdr:col>
                    <xdr:colOff>28575</xdr:colOff>
                    <xdr:row>44</xdr:row>
                    <xdr:rowOff>9525</xdr:rowOff>
                  </from>
                  <to>
                    <xdr:col>14</xdr:col>
                    <xdr:colOff>1095375</xdr:colOff>
                    <xdr:row>44</xdr:row>
                    <xdr:rowOff>238125</xdr:rowOff>
                  </to>
                </anchor>
              </controlPr>
            </control>
          </mc:Choice>
        </mc:AlternateContent>
        <mc:AlternateContent xmlns:mc="http://schemas.openxmlformats.org/markup-compatibility/2006">
          <mc:Choice Requires="x14">
            <control shapeId="19596" r:id="rId40" name="specialization_17">
              <controlPr defaultSize="0" autoFill="0" autoLine="0" autoPict="0">
                <anchor moveWithCells="1">
                  <from>
                    <xdr:col>13</xdr:col>
                    <xdr:colOff>28575</xdr:colOff>
                    <xdr:row>45</xdr:row>
                    <xdr:rowOff>9525</xdr:rowOff>
                  </from>
                  <to>
                    <xdr:col>14</xdr:col>
                    <xdr:colOff>1095375</xdr:colOff>
                    <xdr:row>45</xdr:row>
                    <xdr:rowOff>238125</xdr:rowOff>
                  </to>
                </anchor>
              </controlPr>
            </control>
          </mc:Choice>
        </mc:AlternateContent>
        <mc:AlternateContent xmlns:mc="http://schemas.openxmlformats.org/markup-compatibility/2006">
          <mc:Choice Requires="x14">
            <control shapeId="19597" r:id="rId41" name="subjectsbox_01">
              <controlPr defaultSize="0" autoFill="0" autoLine="0" autoPict="0">
                <anchor moveWithCells="1">
                  <from>
                    <xdr:col>7</xdr:col>
                    <xdr:colOff>28575</xdr:colOff>
                    <xdr:row>50</xdr:row>
                    <xdr:rowOff>9525</xdr:rowOff>
                  </from>
                  <to>
                    <xdr:col>9</xdr:col>
                    <xdr:colOff>0</xdr:colOff>
                    <xdr:row>50</xdr:row>
                    <xdr:rowOff>238125</xdr:rowOff>
                  </to>
                </anchor>
              </controlPr>
            </control>
          </mc:Choice>
        </mc:AlternateContent>
        <mc:AlternateContent xmlns:mc="http://schemas.openxmlformats.org/markup-compatibility/2006">
          <mc:Choice Requires="x14">
            <control shapeId="19598" r:id="rId42" name="subjectsbox_02">
              <controlPr defaultSize="0" autoFill="0" autoLine="0" autoPict="0">
                <anchor moveWithCells="1">
                  <from>
                    <xdr:col>7</xdr:col>
                    <xdr:colOff>28575</xdr:colOff>
                    <xdr:row>51</xdr:row>
                    <xdr:rowOff>9525</xdr:rowOff>
                  </from>
                  <to>
                    <xdr:col>9</xdr:col>
                    <xdr:colOff>0</xdr:colOff>
                    <xdr:row>51</xdr:row>
                    <xdr:rowOff>238125</xdr:rowOff>
                  </to>
                </anchor>
              </controlPr>
            </control>
          </mc:Choice>
        </mc:AlternateContent>
        <mc:AlternateContent xmlns:mc="http://schemas.openxmlformats.org/markup-compatibility/2006">
          <mc:Choice Requires="x14">
            <control shapeId="19599" r:id="rId43" name="subjectsbox_03">
              <controlPr defaultSize="0" autoFill="0" autoLine="0" autoPict="0">
                <anchor moveWithCells="1">
                  <from>
                    <xdr:col>7</xdr:col>
                    <xdr:colOff>28575</xdr:colOff>
                    <xdr:row>52</xdr:row>
                    <xdr:rowOff>9525</xdr:rowOff>
                  </from>
                  <to>
                    <xdr:col>9</xdr:col>
                    <xdr:colOff>0</xdr:colOff>
                    <xdr:row>52</xdr:row>
                    <xdr:rowOff>238125</xdr:rowOff>
                  </to>
                </anchor>
              </controlPr>
            </control>
          </mc:Choice>
        </mc:AlternateContent>
        <mc:AlternateContent xmlns:mc="http://schemas.openxmlformats.org/markup-compatibility/2006">
          <mc:Choice Requires="x14">
            <control shapeId="19600" r:id="rId44" name="subjectsbox_04">
              <controlPr defaultSize="0" autoFill="0" autoLine="0" autoPict="0">
                <anchor moveWithCells="1">
                  <from>
                    <xdr:col>7</xdr:col>
                    <xdr:colOff>28575</xdr:colOff>
                    <xdr:row>53</xdr:row>
                    <xdr:rowOff>9525</xdr:rowOff>
                  </from>
                  <to>
                    <xdr:col>9</xdr:col>
                    <xdr:colOff>0</xdr:colOff>
                    <xdr:row>53</xdr:row>
                    <xdr:rowOff>238125</xdr:rowOff>
                  </to>
                </anchor>
              </controlPr>
            </control>
          </mc:Choice>
        </mc:AlternateContent>
        <mc:AlternateContent xmlns:mc="http://schemas.openxmlformats.org/markup-compatibility/2006">
          <mc:Choice Requires="x14">
            <control shapeId="19601" r:id="rId45" name="subjectsbox_05">
              <controlPr defaultSize="0" autoFill="0" autoLine="0" autoPict="0">
                <anchor moveWithCells="1">
                  <from>
                    <xdr:col>7</xdr:col>
                    <xdr:colOff>28575</xdr:colOff>
                    <xdr:row>54</xdr:row>
                    <xdr:rowOff>9525</xdr:rowOff>
                  </from>
                  <to>
                    <xdr:col>9</xdr:col>
                    <xdr:colOff>0</xdr:colOff>
                    <xdr:row>54</xdr:row>
                    <xdr:rowOff>238125</xdr:rowOff>
                  </to>
                </anchor>
              </controlPr>
            </control>
          </mc:Choice>
        </mc:AlternateContent>
        <mc:AlternateContent xmlns:mc="http://schemas.openxmlformats.org/markup-compatibility/2006">
          <mc:Choice Requires="x14">
            <control shapeId="19602" r:id="rId46" name="subjectsbox_06">
              <controlPr defaultSize="0" autoFill="0" autoLine="0" autoPict="0">
                <anchor moveWithCells="1">
                  <from>
                    <xdr:col>7</xdr:col>
                    <xdr:colOff>28575</xdr:colOff>
                    <xdr:row>55</xdr:row>
                    <xdr:rowOff>9525</xdr:rowOff>
                  </from>
                  <to>
                    <xdr:col>9</xdr:col>
                    <xdr:colOff>0</xdr:colOff>
                    <xdr:row>55</xdr:row>
                    <xdr:rowOff>238125</xdr:rowOff>
                  </to>
                </anchor>
              </controlPr>
            </control>
          </mc:Choice>
        </mc:AlternateContent>
        <mc:AlternateContent xmlns:mc="http://schemas.openxmlformats.org/markup-compatibility/2006">
          <mc:Choice Requires="x14">
            <control shapeId="19603" r:id="rId47" name="subjectsbox_07">
              <controlPr defaultSize="0" autoFill="0" autoLine="0" autoPict="0">
                <anchor moveWithCells="1">
                  <from>
                    <xdr:col>7</xdr:col>
                    <xdr:colOff>28575</xdr:colOff>
                    <xdr:row>56</xdr:row>
                    <xdr:rowOff>9525</xdr:rowOff>
                  </from>
                  <to>
                    <xdr:col>9</xdr:col>
                    <xdr:colOff>0</xdr:colOff>
                    <xdr:row>56</xdr:row>
                    <xdr:rowOff>238125</xdr:rowOff>
                  </to>
                </anchor>
              </controlPr>
            </control>
          </mc:Choice>
        </mc:AlternateContent>
        <mc:AlternateContent xmlns:mc="http://schemas.openxmlformats.org/markup-compatibility/2006">
          <mc:Choice Requires="x14">
            <control shapeId="19604" r:id="rId48" name="subjectsbox_08">
              <controlPr defaultSize="0" autoFill="0" autoLine="0" autoPict="0">
                <anchor moveWithCells="1">
                  <from>
                    <xdr:col>7</xdr:col>
                    <xdr:colOff>28575</xdr:colOff>
                    <xdr:row>57</xdr:row>
                    <xdr:rowOff>9525</xdr:rowOff>
                  </from>
                  <to>
                    <xdr:col>9</xdr:col>
                    <xdr:colOff>0</xdr:colOff>
                    <xdr:row>57</xdr:row>
                    <xdr:rowOff>238125</xdr:rowOff>
                  </to>
                </anchor>
              </controlPr>
            </control>
          </mc:Choice>
        </mc:AlternateContent>
        <mc:AlternateContent xmlns:mc="http://schemas.openxmlformats.org/markup-compatibility/2006">
          <mc:Choice Requires="x14">
            <control shapeId="19605" r:id="rId49" name="subjectsbox_09">
              <controlPr defaultSize="0" autoFill="0" autoLine="0" autoPict="0">
                <anchor moveWithCells="1">
                  <from>
                    <xdr:col>7</xdr:col>
                    <xdr:colOff>28575</xdr:colOff>
                    <xdr:row>58</xdr:row>
                    <xdr:rowOff>9525</xdr:rowOff>
                  </from>
                  <to>
                    <xdr:col>9</xdr:col>
                    <xdr:colOff>0</xdr:colOff>
                    <xdr:row>58</xdr:row>
                    <xdr:rowOff>238125</xdr:rowOff>
                  </to>
                </anchor>
              </controlPr>
            </control>
          </mc:Choice>
        </mc:AlternateContent>
        <mc:AlternateContent xmlns:mc="http://schemas.openxmlformats.org/markup-compatibility/2006">
          <mc:Choice Requires="x14">
            <control shapeId="19606" r:id="rId50" name="subjectsbox_10">
              <controlPr defaultSize="0" autoFill="0" autoLine="0" autoPict="0">
                <anchor moveWithCells="1">
                  <from>
                    <xdr:col>7</xdr:col>
                    <xdr:colOff>28575</xdr:colOff>
                    <xdr:row>59</xdr:row>
                    <xdr:rowOff>9525</xdr:rowOff>
                  </from>
                  <to>
                    <xdr:col>9</xdr:col>
                    <xdr:colOff>0</xdr:colOff>
                    <xdr:row>59</xdr:row>
                    <xdr:rowOff>238125</xdr:rowOff>
                  </to>
                </anchor>
              </controlPr>
            </control>
          </mc:Choice>
        </mc:AlternateContent>
        <mc:AlternateContent xmlns:mc="http://schemas.openxmlformats.org/markup-compatibility/2006">
          <mc:Choice Requires="x14">
            <control shapeId="19607" r:id="rId51" name="subjectsbox_11">
              <controlPr defaultSize="0" autoFill="0" autoLine="0" autoPict="0">
                <anchor moveWithCells="1">
                  <from>
                    <xdr:col>7</xdr:col>
                    <xdr:colOff>28575</xdr:colOff>
                    <xdr:row>60</xdr:row>
                    <xdr:rowOff>9525</xdr:rowOff>
                  </from>
                  <to>
                    <xdr:col>9</xdr:col>
                    <xdr:colOff>0</xdr:colOff>
                    <xdr:row>60</xdr:row>
                    <xdr:rowOff>238125</xdr:rowOff>
                  </to>
                </anchor>
              </controlPr>
            </control>
          </mc:Choice>
        </mc:AlternateContent>
        <mc:AlternateContent xmlns:mc="http://schemas.openxmlformats.org/markup-compatibility/2006">
          <mc:Choice Requires="x14">
            <control shapeId="19608" r:id="rId52" name="subjectsbox_12">
              <controlPr defaultSize="0" autoFill="0" autoLine="0" autoPict="0">
                <anchor moveWithCells="1">
                  <from>
                    <xdr:col>13</xdr:col>
                    <xdr:colOff>28575</xdr:colOff>
                    <xdr:row>50</xdr:row>
                    <xdr:rowOff>9525</xdr:rowOff>
                  </from>
                  <to>
                    <xdr:col>14</xdr:col>
                    <xdr:colOff>1095375</xdr:colOff>
                    <xdr:row>50</xdr:row>
                    <xdr:rowOff>238125</xdr:rowOff>
                  </to>
                </anchor>
              </controlPr>
            </control>
          </mc:Choice>
        </mc:AlternateContent>
        <mc:AlternateContent xmlns:mc="http://schemas.openxmlformats.org/markup-compatibility/2006">
          <mc:Choice Requires="x14">
            <control shapeId="19609" r:id="rId53" name="subjectsbox_13">
              <controlPr defaultSize="0" autoFill="0" autoLine="0" autoPict="0">
                <anchor moveWithCells="1">
                  <from>
                    <xdr:col>13</xdr:col>
                    <xdr:colOff>28575</xdr:colOff>
                    <xdr:row>51</xdr:row>
                    <xdr:rowOff>9525</xdr:rowOff>
                  </from>
                  <to>
                    <xdr:col>14</xdr:col>
                    <xdr:colOff>1095375</xdr:colOff>
                    <xdr:row>51</xdr:row>
                    <xdr:rowOff>238125</xdr:rowOff>
                  </to>
                </anchor>
              </controlPr>
            </control>
          </mc:Choice>
        </mc:AlternateContent>
        <mc:AlternateContent xmlns:mc="http://schemas.openxmlformats.org/markup-compatibility/2006">
          <mc:Choice Requires="x14">
            <control shapeId="19610" r:id="rId54" name="subjectsbox_14">
              <controlPr defaultSize="0" autoFill="0" autoLine="0" autoPict="0">
                <anchor moveWithCells="1">
                  <from>
                    <xdr:col>13</xdr:col>
                    <xdr:colOff>28575</xdr:colOff>
                    <xdr:row>52</xdr:row>
                    <xdr:rowOff>9525</xdr:rowOff>
                  </from>
                  <to>
                    <xdr:col>14</xdr:col>
                    <xdr:colOff>1095375</xdr:colOff>
                    <xdr:row>52</xdr:row>
                    <xdr:rowOff>238125</xdr:rowOff>
                  </to>
                </anchor>
              </controlPr>
            </control>
          </mc:Choice>
        </mc:AlternateContent>
        <mc:AlternateContent xmlns:mc="http://schemas.openxmlformats.org/markup-compatibility/2006">
          <mc:Choice Requires="x14">
            <control shapeId="19611" r:id="rId55" name="subjectsbox_15">
              <controlPr defaultSize="0" autoFill="0" autoLine="0" autoPict="0">
                <anchor moveWithCells="1">
                  <from>
                    <xdr:col>13</xdr:col>
                    <xdr:colOff>28575</xdr:colOff>
                    <xdr:row>53</xdr:row>
                    <xdr:rowOff>9525</xdr:rowOff>
                  </from>
                  <to>
                    <xdr:col>14</xdr:col>
                    <xdr:colOff>1095375</xdr:colOff>
                    <xdr:row>53</xdr:row>
                    <xdr:rowOff>238125</xdr:rowOff>
                  </to>
                </anchor>
              </controlPr>
            </control>
          </mc:Choice>
        </mc:AlternateContent>
        <mc:AlternateContent xmlns:mc="http://schemas.openxmlformats.org/markup-compatibility/2006">
          <mc:Choice Requires="x14">
            <control shapeId="19612" r:id="rId56" name="subjectsbox_16">
              <controlPr defaultSize="0" autoFill="0" autoLine="0" autoPict="0">
                <anchor moveWithCells="1">
                  <from>
                    <xdr:col>13</xdr:col>
                    <xdr:colOff>28575</xdr:colOff>
                    <xdr:row>54</xdr:row>
                    <xdr:rowOff>9525</xdr:rowOff>
                  </from>
                  <to>
                    <xdr:col>14</xdr:col>
                    <xdr:colOff>1095375</xdr:colOff>
                    <xdr:row>54</xdr:row>
                    <xdr:rowOff>238125</xdr:rowOff>
                  </to>
                </anchor>
              </controlPr>
            </control>
          </mc:Choice>
        </mc:AlternateContent>
        <mc:AlternateContent xmlns:mc="http://schemas.openxmlformats.org/markup-compatibility/2006">
          <mc:Choice Requires="x14">
            <control shapeId="19613" r:id="rId57" name="subjectsbox_17">
              <controlPr defaultSize="0" autoFill="0" autoLine="0" autoPict="0">
                <anchor moveWithCells="1">
                  <from>
                    <xdr:col>13</xdr:col>
                    <xdr:colOff>28575</xdr:colOff>
                    <xdr:row>55</xdr:row>
                    <xdr:rowOff>9525</xdr:rowOff>
                  </from>
                  <to>
                    <xdr:col>14</xdr:col>
                    <xdr:colOff>1095375</xdr:colOff>
                    <xdr:row>55</xdr:row>
                    <xdr:rowOff>238125</xdr:rowOff>
                  </to>
                </anchor>
              </controlPr>
            </control>
          </mc:Choice>
        </mc:AlternateContent>
        <mc:AlternateContent xmlns:mc="http://schemas.openxmlformats.org/markup-compatibility/2006">
          <mc:Choice Requires="x14">
            <control shapeId="19614" r:id="rId58" name="subjectsbox_18">
              <controlPr defaultSize="0" autoFill="0" autoLine="0" autoPict="0">
                <anchor moveWithCells="1">
                  <from>
                    <xdr:col>13</xdr:col>
                    <xdr:colOff>28575</xdr:colOff>
                    <xdr:row>56</xdr:row>
                    <xdr:rowOff>9525</xdr:rowOff>
                  </from>
                  <to>
                    <xdr:col>14</xdr:col>
                    <xdr:colOff>1095375</xdr:colOff>
                    <xdr:row>56</xdr:row>
                    <xdr:rowOff>238125</xdr:rowOff>
                  </to>
                </anchor>
              </controlPr>
            </control>
          </mc:Choice>
        </mc:AlternateContent>
        <mc:AlternateContent xmlns:mc="http://schemas.openxmlformats.org/markup-compatibility/2006">
          <mc:Choice Requires="x14">
            <control shapeId="19615" r:id="rId59" name="subjectsbox_19">
              <controlPr defaultSize="0" autoFill="0" autoLine="0" autoPict="0">
                <anchor moveWithCells="1">
                  <from>
                    <xdr:col>13</xdr:col>
                    <xdr:colOff>28575</xdr:colOff>
                    <xdr:row>57</xdr:row>
                    <xdr:rowOff>9525</xdr:rowOff>
                  </from>
                  <to>
                    <xdr:col>14</xdr:col>
                    <xdr:colOff>1095375</xdr:colOff>
                    <xdr:row>57</xdr:row>
                    <xdr:rowOff>238125</xdr:rowOff>
                  </to>
                </anchor>
              </controlPr>
            </control>
          </mc:Choice>
        </mc:AlternateContent>
        <mc:AlternateContent xmlns:mc="http://schemas.openxmlformats.org/markup-compatibility/2006">
          <mc:Choice Requires="x14">
            <control shapeId="19616" r:id="rId60" name="subjectsbox_20">
              <controlPr defaultSize="0" autoFill="0" autoLine="0" autoPict="0">
                <anchor moveWithCells="1">
                  <from>
                    <xdr:col>13</xdr:col>
                    <xdr:colOff>28575</xdr:colOff>
                    <xdr:row>59</xdr:row>
                    <xdr:rowOff>9525</xdr:rowOff>
                  </from>
                  <to>
                    <xdr:col>14</xdr:col>
                    <xdr:colOff>1095375</xdr:colOff>
                    <xdr:row>59</xdr:row>
                    <xdr:rowOff>238125</xdr:rowOff>
                  </to>
                </anchor>
              </controlPr>
            </control>
          </mc:Choice>
        </mc:AlternateContent>
        <mc:AlternateContent xmlns:mc="http://schemas.openxmlformats.org/markup-compatibility/2006">
          <mc:Choice Requires="x14">
            <control shapeId="19617" r:id="rId61" name="strandsbox_01">
              <controlPr defaultSize="0" autoFill="0" autoLine="0" autoPict="0">
                <anchor moveWithCells="1">
                  <from>
                    <xdr:col>7</xdr:col>
                    <xdr:colOff>28575</xdr:colOff>
                    <xdr:row>64</xdr:row>
                    <xdr:rowOff>9525</xdr:rowOff>
                  </from>
                  <to>
                    <xdr:col>9</xdr:col>
                    <xdr:colOff>0</xdr:colOff>
                    <xdr:row>133</xdr:row>
                    <xdr:rowOff>38100</xdr:rowOff>
                  </to>
                </anchor>
              </controlPr>
            </control>
          </mc:Choice>
        </mc:AlternateContent>
        <mc:AlternateContent xmlns:mc="http://schemas.openxmlformats.org/markup-compatibility/2006">
          <mc:Choice Requires="x14">
            <control shapeId="19618" r:id="rId62" name="strandsbox_02">
              <controlPr defaultSize="0" autoFill="0" autoLine="0" autoPict="0">
                <anchor moveWithCells="1">
                  <from>
                    <xdr:col>7</xdr:col>
                    <xdr:colOff>28575</xdr:colOff>
                    <xdr:row>65</xdr:row>
                    <xdr:rowOff>9525</xdr:rowOff>
                  </from>
                  <to>
                    <xdr:col>9</xdr:col>
                    <xdr:colOff>0</xdr:colOff>
                    <xdr:row>133</xdr:row>
                    <xdr:rowOff>38100</xdr:rowOff>
                  </to>
                </anchor>
              </controlPr>
            </control>
          </mc:Choice>
        </mc:AlternateContent>
        <mc:AlternateContent xmlns:mc="http://schemas.openxmlformats.org/markup-compatibility/2006">
          <mc:Choice Requires="x14">
            <control shapeId="19619" r:id="rId63" name="strandsbox_03">
              <controlPr defaultSize="0" autoFill="0" autoLine="0" autoPict="0">
                <anchor moveWithCells="1">
                  <from>
                    <xdr:col>7</xdr:col>
                    <xdr:colOff>28575</xdr:colOff>
                    <xdr:row>66</xdr:row>
                    <xdr:rowOff>9525</xdr:rowOff>
                  </from>
                  <to>
                    <xdr:col>9</xdr:col>
                    <xdr:colOff>0</xdr:colOff>
                    <xdr:row>133</xdr:row>
                    <xdr:rowOff>38100</xdr:rowOff>
                  </to>
                </anchor>
              </controlPr>
            </control>
          </mc:Choice>
        </mc:AlternateContent>
        <mc:AlternateContent xmlns:mc="http://schemas.openxmlformats.org/markup-compatibility/2006">
          <mc:Choice Requires="x14">
            <control shapeId="19620" r:id="rId64" name="strandsbox_04">
              <controlPr defaultSize="0" autoFill="0" autoLine="0" autoPict="0">
                <anchor moveWithCells="1">
                  <from>
                    <xdr:col>7</xdr:col>
                    <xdr:colOff>28575</xdr:colOff>
                    <xdr:row>67</xdr:row>
                    <xdr:rowOff>9525</xdr:rowOff>
                  </from>
                  <to>
                    <xdr:col>9</xdr:col>
                    <xdr:colOff>0</xdr:colOff>
                    <xdr:row>133</xdr:row>
                    <xdr:rowOff>38100</xdr:rowOff>
                  </to>
                </anchor>
              </controlPr>
            </control>
          </mc:Choice>
        </mc:AlternateContent>
        <mc:AlternateContent xmlns:mc="http://schemas.openxmlformats.org/markup-compatibility/2006">
          <mc:Choice Requires="x14">
            <control shapeId="19621" r:id="rId65" name="strandsbox_05">
              <controlPr defaultSize="0" autoFill="0" autoLine="0" autoPict="0">
                <anchor moveWithCells="1">
                  <from>
                    <xdr:col>7</xdr:col>
                    <xdr:colOff>28575</xdr:colOff>
                    <xdr:row>68</xdr:row>
                    <xdr:rowOff>9525</xdr:rowOff>
                  </from>
                  <to>
                    <xdr:col>9</xdr:col>
                    <xdr:colOff>0</xdr:colOff>
                    <xdr:row>133</xdr:row>
                    <xdr:rowOff>38100</xdr:rowOff>
                  </to>
                </anchor>
              </controlPr>
            </control>
          </mc:Choice>
        </mc:AlternateContent>
        <mc:AlternateContent xmlns:mc="http://schemas.openxmlformats.org/markup-compatibility/2006">
          <mc:Choice Requires="x14">
            <control shapeId="19622" r:id="rId66" name="strandsbox_06">
              <controlPr defaultSize="0" autoFill="0" autoLine="0" autoPict="0">
                <anchor moveWithCells="1">
                  <from>
                    <xdr:col>7</xdr:col>
                    <xdr:colOff>28575</xdr:colOff>
                    <xdr:row>69</xdr:row>
                    <xdr:rowOff>9525</xdr:rowOff>
                  </from>
                  <to>
                    <xdr:col>9</xdr:col>
                    <xdr:colOff>0</xdr:colOff>
                    <xdr:row>133</xdr:row>
                    <xdr:rowOff>38100</xdr:rowOff>
                  </to>
                </anchor>
              </controlPr>
            </control>
          </mc:Choice>
        </mc:AlternateContent>
        <mc:AlternateContent xmlns:mc="http://schemas.openxmlformats.org/markup-compatibility/2006">
          <mc:Choice Requires="x14">
            <control shapeId="19623" r:id="rId67" name="strandsbox_07">
              <controlPr defaultSize="0" autoFill="0" autoLine="0" autoPict="0">
                <anchor moveWithCells="1">
                  <from>
                    <xdr:col>13</xdr:col>
                    <xdr:colOff>28575</xdr:colOff>
                    <xdr:row>64</xdr:row>
                    <xdr:rowOff>9525</xdr:rowOff>
                  </from>
                  <to>
                    <xdr:col>14</xdr:col>
                    <xdr:colOff>1095375</xdr:colOff>
                    <xdr:row>133</xdr:row>
                    <xdr:rowOff>38100</xdr:rowOff>
                  </to>
                </anchor>
              </controlPr>
            </control>
          </mc:Choice>
        </mc:AlternateContent>
        <mc:AlternateContent xmlns:mc="http://schemas.openxmlformats.org/markup-compatibility/2006">
          <mc:Choice Requires="x14">
            <control shapeId="19624" r:id="rId68" name="strandsbox_08">
              <controlPr defaultSize="0" autoFill="0" autoLine="0" autoPict="0">
                <anchor moveWithCells="1">
                  <from>
                    <xdr:col>13</xdr:col>
                    <xdr:colOff>28575</xdr:colOff>
                    <xdr:row>65</xdr:row>
                    <xdr:rowOff>9525</xdr:rowOff>
                  </from>
                  <to>
                    <xdr:col>14</xdr:col>
                    <xdr:colOff>1095375</xdr:colOff>
                    <xdr:row>133</xdr:row>
                    <xdr:rowOff>38100</xdr:rowOff>
                  </to>
                </anchor>
              </controlPr>
            </control>
          </mc:Choice>
        </mc:AlternateContent>
        <mc:AlternateContent xmlns:mc="http://schemas.openxmlformats.org/markup-compatibility/2006">
          <mc:Choice Requires="x14">
            <control shapeId="19625" r:id="rId69" name="strandsbox_09">
              <controlPr defaultSize="0" autoFill="0" autoLine="0" autoPict="0">
                <anchor moveWithCells="1">
                  <from>
                    <xdr:col>13</xdr:col>
                    <xdr:colOff>28575</xdr:colOff>
                    <xdr:row>66</xdr:row>
                    <xdr:rowOff>9525</xdr:rowOff>
                  </from>
                  <to>
                    <xdr:col>14</xdr:col>
                    <xdr:colOff>1095375</xdr:colOff>
                    <xdr:row>133</xdr:row>
                    <xdr:rowOff>38100</xdr:rowOff>
                  </to>
                </anchor>
              </controlPr>
            </control>
          </mc:Choice>
        </mc:AlternateContent>
        <mc:AlternateContent xmlns:mc="http://schemas.openxmlformats.org/markup-compatibility/2006">
          <mc:Choice Requires="x14">
            <control shapeId="19626" r:id="rId70" name="strandsbox_10">
              <controlPr defaultSize="0" autoFill="0" autoLine="0" autoPict="0">
                <anchor moveWithCells="1">
                  <from>
                    <xdr:col>13</xdr:col>
                    <xdr:colOff>28575</xdr:colOff>
                    <xdr:row>67</xdr:row>
                    <xdr:rowOff>9525</xdr:rowOff>
                  </from>
                  <to>
                    <xdr:col>14</xdr:col>
                    <xdr:colOff>1095375</xdr:colOff>
                    <xdr:row>133</xdr:row>
                    <xdr:rowOff>38100</xdr:rowOff>
                  </to>
                </anchor>
              </controlPr>
            </control>
          </mc:Choice>
        </mc:AlternateContent>
        <mc:AlternateContent xmlns:mc="http://schemas.openxmlformats.org/markup-compatibility/2006">
          <mc:Choice Requires="x14">
            <control shapeId="19627" r:id="rId71" name="strandsbox_11">
              <controlPr defaultSize="0" autoFill="0" autoLine="0" autoPict="0">
                <anchor moveWithCells="1">
                  <from>
                    <xdr:col>13</xdr:col>
                    <xdr:colOff>28575</xdr:colOff>
                    <xdr:row>68</xdr:row>
                    <xdr:rowOff>9525</xdr:rowOff>
                  </from>
                  <to>
                    <xdr:col>14</xdr:col>
                    <xdr:colOff>1095375</xdr:colOff>
                    <xdr:row>133</xdr:row>
                    <xdr:rowOff>38100</xdr:rowOff>
                  </to>
                </anchor>
              </controlPr>
            </control>
          </mc:Choice>
        </mc:AlternateContent>
        <mc:AlternateContent xmlns:mc="http://schemas.openxmlformats.org/markup-compatibility/2006">
          <mc:Choice Requires="x14">
            <control shapeId="19628" r:id="rId72" name="strandsbox_12">
              <controlPr defaultSize="0" autoFill="0" autoLine="0" autoPict="0">
                <anchor moveWithCells="1">
                  <from>
                    <xdr:col>13</xdr:col>
                    <xdr:colOff>28575</xdr:colOff>
                    <xdr:row>69</xdr:row>
                    <xdr:rowOff>9525</xdr:rowOff>
                  </from>
                  <to>
                    <xdr:col>14</xdr:col>
                    <xdr:colOff>1095375</xdr:colOff>
                    <xdr:row>133</xdr:row>
                    <xdr:rowOff>38100</xdr:rowOff>
                  </to>
                </anchor>
              </controlPr>
            </control>
          </mc:Choice>
        </mc:AlternateContent>
        <mc:AlternateContent xmlns:mc="http://schemas.openxmlformats.org/markup-compatibility/2006">
          <mc:Choice Requires="x14">
            <control shapeId="19634" r:id="rId73" name="Button 178">
              <controlPr defaultSize="0" print="0" autoFill="0" autoPict="0" macro="[0]!ForceFix">
                <anchor moveWithCells="1" sizeWithCells="1">
                  <from>
                    <xdr:col>12</xdr:col>
                    <xdr:colOff>238125</xdr:colOff>
                    <xdr:row>153</xdr:row>
                    <xdr:rowOff>76200</xdr:rowOff>
                  </from>
                  <to>
                    <xdr:col>13</xdr:col>
                    <xdr:colOff>228600</xdr:colOff>
                    <xdr:row>155</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4DCF-5C3B-6C49-BEAC-5395630E3593}">
  <sheetPr codeName="Status_Sheet">
    <pageSetUpPr fitToPage="1"/>
  </sheetPr>
  <dimension ref="A1:P37"/>
  <sheetViews>
    <sheetView showGridLines="0" topLeftCell="A4" zoomScaleNormal="100" workbookViewId="0">
      <selection activeCell="N7" sqref="N7:O7"/>
    </sheetView>
  </sheetViews>
  <sheetFormatPr defaultColWidth="8.85546875" defaultRowHeight="15.6" customHeight="1" x14ac:dyDescent="0.25"/>
  <cols>
    <col min="1" max="1" width="3" style="47" customWidth="1"/>
    <col min="2" max="2" width="3.42578125" style="47" customWidth="1"/>
    <col min="3" max="3" width="8.85546875" style="47" customWidth="1"/>
    <col min="4" max="4" width="3.7109375" style="47" customWidth="1"/>
    <col min="5" max="5" width="15.7109375" style="47" customWidth="1"/>
    <col min="6" max="6" width="7.85546875" style="47" customWidth="1"/>
    <col min="7" max="7" width="18.28515625" style="47" customWidth="1"/>
    <col min="8" max="8" width="3.85546875" style="47" customWidth="1"/>
    <col min="9" max="9" width="14.42578125" style="47" customWidth="1"/>
    <col min="10" max="10" width="3.140625" style="47" customWidth="1"/>
    <col min="11" max="11" width="5.85546875" style="47" customWidth="1"/>
    <col min="12" max="12" width="6.28515625" style="47" customWidth="1"/>
    <col min="13" max="13" width="9" style="47" customWidth="1"/>
    <col min="14" max="14" width="3.85546875" style="47" customWidth="1"/>
    <col min="15" max="15" width="32.7109375" style="47" customWidth="1"/>
    <col min="16" max="16" width="3.28515625" style="47" customWidth="1"/>
    <col min="17" max="18" width="8.85546875" style="47"/>
    <col min="19" max="19" width="5.28515625" style="47" customWidth="1"/>
    <col min="20" max="20" width="0.140625" style="47" customWidth="1"/>
    <col min="21" max="21" width="8.85546875" style="47" customWidth="1"/>
    <col min="22" max="16384" width="8.85546875" style="47"/>
  </cols>
  <sheetData>
    <row r="1" spans="1:16" s="61" customFormat="1" ht="31.35" customHeight="1" x14ac:dyDescent="0.25">
      <c r="A1" s="544" t="str">
        <f>"Official Electronic IPCRF Tool v"&amp;meta!$B$3</f>
        <v>Official Electronic IPCRF Tool v4.3</v>
      </c>
      <c r="B1" s="544"/>
      <c r="C1" s="544"/>
      <c r="D1" s="544"/>
      <c r="E1" s="544"/>
      <c r="F1" s="544"/>
      <c r="G1" s="544"/>
      <c r="H1" s="544"/>
      <c r="I1" s="544"/>
      <c r="J1" s="544"/>
      <c r="K1" s="544"/>
      <c r="L1" s="544"/>
      <c r="M1" s="544"/>
      <c r="N1" s="544"/>
      <c r="O1" s="544"/>
      <c r="P1" s="544"/>
    </row>
    <row r="2" spans="1:16" s="61" customFormat="1" ht="31.5" x14ac:dyDescent="0.25">
      <c r="A2" s="544" t="str">
        <f>selected_career_stage &amp; " " &amp; selected_teacher_type</f>
        <v>Proficient Regular Teacher</v>
      </c>
      <c r="B2" s="544"/>
      <c r="C2" s="544"/>
      <c r="D2" s="544"/>
      <c r="E2" s="544"/>
      <c r="F2" s="544"/>
      <c r="G2" s="544"/>
      <c r="H2" s="544"/>
      <c r="I2" s="544"/>
      <c r="J2" s="544"/>
      <c r="K2" s="544"/>
      <c r="L2" s="544"/>
      <c r="M2" s="544"/>
      <c r="N2" s="544"/>
      <c r="O2" s="544"/>
      <c r="P2" s="544"/>
    </row>
    <row r="3" spans="1:16" ht="23.25" x14ac:dyDescent="0.25">
      <c r="A3" s="545" t="str" cm="1">
        <f t="array" ref="A3">demographics[rating_period]</f>
        <v>SY 2023-2024</v>
      </c>
      <c r="B3" s="545"/>
      <c r="C3" s="545"/>
      <c r="D3" s="545"/>
      <c r="E3" s="545"/>
      <c r="F3" s="545"/>
      <c r="G3" s="545"/>
      <c r="H3" s="545"/>
      <c r="I3" s="545"/>
      <c r="J3" s="545"/>
      <c r="K3" s="545"/>
      <c r="L3" s="545"/>
      <c r="M3" s="545"/>
      <c r="N3" s="545"/>
      <c r="O3" s="545"/>
      <c r="P3" s="545"/>
    </row>
    <row r="4" spans="1:16" ht="24.95" customHeight="1" x14ac:dyDescent="0.25">
      <c r="A4" s="62"/>
      <c r="B4" s="62"/>
      <c r="C4" s="62"/>
      <c r="D4" s="62"/>
      <c r="E4" s="62"/>
      <c r="F4" s="62"/>
      <c r="G4" s="62"/>
      <c r="H4" s="62"/>
      <c r="I4" s="62"/>
      <c r="J4" s="62"/>
      <c r="K4" s="62"/>
      <c r="L4" s="62"/>
      <c r="M4" s="62"/>
      <c r="N4" s="62"/>
      <c r="O4" s="62"/>
      <c r="P4" s="62"/>
    </row>
    <row r="5" spans="1:16" ht="33" customHeight="1" x14ac:dyDescent="0.4">
      <c r="A5" s="62"/>
      <c r="B5" s="292" t="s">
        <v>997</v>
      </c>
      <c r="C5" s="112"/>
      <c r="D5" s="112"/>
      <c r="E5" s="112"/>
      <c r="F5" s="112"/>
      <c r="G5" s="112"/>
      <c r="H5" s="112"/>
      <c r="I5" s="112"/>
      <c r="J5" s="112"/>
      <c r="K5" s="292" t="s">
        <v>998</v>
      </c>
      <c r="L5" s="112"/>
      <c r="M5" s="112"/>
      <c r="N5" s="62"/>
      <c r="O5" s="62"/>
      <c r="P5" s="62"/>
    </row>
    <row r="6" spans="1:16" ht="12" customHeight="1" thickBot="1" x14ac:dyDescent="0.3">
      <c r="B6" s="219"/>
      <c r="C6" s="65"/>
      <c r="D6" s="65"/>
      <c r="E6" s="65"/>
      <c r="F6" s="65"/>
      <c r="G6" s="65"/>
    </row>
    <row r="7" spans="1:16" ht="20.100000000000001" customHeight="1" x14ac:dyDescent="0.25">
      <c r="B7" s="550" t="s">
        <v>927</v>
      </c>
      <c r="C7" s="551"/>
      <c r="D7" s="551"/>
      <c r="E7" s="551"/>
      <c r="F7" s="573" t="str" cm="1">
        <f t="array" ref="F7">school_attribs[region_name]</f>
        <v>IV-A - CALABARZON</v>
      </c>
      <c r="G7" s="573"/>
      <c r="H7" s="573"/>
      <c r="I7" s="573"/>
      <c r="J7" s="139"/>
      <c r="K7" s="548" t="s">
        <v>928</v>
      </c>
      <c r="L7" s="549"/>
      <c r="M7" s="549"/>
      <c r="N7" s="574" t="str" cm="1">
        <f t="array" ref="N7">demographics[lastname]</f>
        <v>GOLLA</v>
      </c>
      <c r="O7" s="575"/>
      <c r="P7" s="140"/>
    </row>
    <row r="8" spans="1:16" ht="20.100000000000001" customHeight="1" x14ac:dyDescent="0.25">
      <c r="B8" s="516" t="s">
        <v>932</v>
      </c>
      <c r="C8" s="517"/>
      <c r="D8" s="517"/>
      <c r="E8" s="517"/>
      <c r="F8" s="570" t="str" cm="1">
        <f t="array" ref="F8">school_attribs[division_name]</f>
        <v>Antipolo City</v>
      </c>
      <c r="G8" s="570"/>
      <c r="H8" s="570"/>
      <c r="I8" s="570"/>
      <c r="J8" s="140"/>
      <c r="K8" s="554" t="s">
        <v>933</v>
      </c>
      <c r="L8" s="555"/>
      <c r="M8" s="555"/>
      <c r="N8" s="568" t="str" cm="1">
        <f t="array" ref="N8">demographics[firstname]</f>
        <v>ROWENA</v>
      </c>
      <c r="O8" s="569"/>
      <c r="P8" s="140"/>
    </row>
    <row r="9" spans="1:16" ht="20.100000000000001" customHeight="1" x14ac:dyDescent="0.25">
      <c r="B9" s="516" t="s">
        <v>935</v>
      </c>
      <c r="C9" s="517"/>
      <c r="D9" s="517"/>
      <c r="E9" s="517"/>
      <c r="F9" s="570" t="str" cm="1">
        <f t="array" ref="F9">school_attribs[municipality]</f>
        <v>District I - A</v>
      </c>
      <c r="G9" s="570"/>
      <c r="H9" s="570"/>
      <c r="I9" s="570"/>
      <c r="J9" s="140"/>
      <c r="K9" s="554" t="s">
        <v>936</v>
      </c>
      <c r="L9" s="555"/>
      <c r="M9" s="555"/>
      <c r="N9" s="568" t="str" cm="1">
        <f t="array" ref="N9">demographics[middlename]</f>
        <v>SERRANILLO</v>
      </c>
      <c r="O9" s="569"/>
      <c r="P9" s="140"/>
    </row>
    <row r="10" spans="1:16" ht="20.100000000000001" customHeight="1" x14ac:dyDescent="0.25">
      <c r="B10" s="516" t="s">
        <v>999</v>
      </c>
      <c r="C10" s="517"/>
      <c r="D10" s="517"/>
      <c r="E10" s="517"/>
      <c r="F10" s="570" cm="1">
        <f t="array" ref="F10">school_attribs[school_id]</f>
        <v>301418</v>
      </c>
      <c r="G10" s="570"/>
      <c r="H10" s="570"/>
      <c r="I10" s="570"/>
      <c r="J10" s="140"/>
      <c r="K10" s="518" t="s">
        <v>939</v>
      </c>
      <c r="L10" s="519"/>
      <c r="M10" s="519"/>
      <c r="N10" s="520" t="str" cm="1">
        <f t="array" ref="N10">demographics[teacherid]</f>
        <v>4363744</v>
      </c>
      <c r="O10" s="576"/>
      <c r="P10" s="140"/>
    </row>
    <row r="11" spans="1:16" ht="20.100000000000001" customHeight="1" x14ac:dyDescent="0.25">
      <c r="B11" s="516" t="s">
        <v>942</v>
      </c>
      <c r="C11" s="517"/>
      <c r="D11" s="517"/>
      <c r="E11" s="517"/>
      <c r="F11" s="570" t="str" cm="1">
        <f t="array" ref="F11">school_attribs[school_name]</f>
        <v>ANTIPOLO NATIONAL HIGH SCHOOL</v>
      </c>
      <c r="G11" s="570"/>
      <c r="H11" s="570"/>
      <c r="I11" s="570"/>
      <c r="J11" s="140"/>
      <c r="K11" s="518" t="s">
        <v>943</v>
      </c>
      <c r="L11" s="519"/>
      <c r="M11" s="519"/>
      <c r="N11" s="520" t="str" cm="1">
        <f t="array" ref="N11">demographics[position]</f>
        <v>Teacher III</v>
      </c>
      <c r="O11" s="576"/>
      <c r="P11" s="140"/>
    </row>
    <row r="12" spans="1:16" ht="20.100000000000001" customHeight="1" x14ac:dyDescent="0.25">
      <c r="B12" s="516" t="s">
        <v>1000</v>
      </c>
      <c r="C12" s="517"/>
      <c r="D12" s="517"/>
      <c r="E12" s="517"/>
      <c r="F12" s="570" t="str" cm="1">
        <f t="array" ref="F12">school_attribs[school_type]</f>
        <v>Urban</v>
      </c>
      <c r="G12" s="570"/>
      <c r="H12" s="570"/>
      <c r="I12" s="570"/>
      <c r="J12" s="140"/>
      <c r="K12" s="534" t="s">
        <v>947</v>
      </c>
      <c r="L12" s="535"/>
      <c r="M12" s="536"/>
      <c r="N12" s="571" t="str" cm="1">
        <f t="array" ref="N12">demographics[employment_status]</f>
        <v>Regular Permanent</v>
      </c>
      <c r="O12" s="572"/>
      <c r="P12" s="140"/>
    </row>
    <row r="13" spans="1:16" ht="20.100000000000001" customHeight="1" x14ac:dyDescent="0.25">
      <c r="B13" s="516" t="s">
        <v>1001</v>
      </c>
      <c r="C13" s="517"/>
      <c r="D13" s="517"/>
      <c r="E13" s="517"/>
      <c r="F13" s="570" t="str" cm="1">
        <f t="array" ref="F13">school_attribs[school_size]</f>
        <v>Very Large</v>
      </c>
      <c r="G13" s="570"/>
      <c r="H13" s="570"/>
      <c r="I13" s="570"/>
      <c r="J13" s="140"/>
      <c r="K13" s="554" t="s">
        <v>1002</v>
      </c>
      <c r="L13" s="555"/>
      <c r="M13" s="555"/>
      <c r="N13" s="565" t="str" cm="1">
        <f t="array" ref="N13">demographics[email]</f>
        <v>rowena.golla@deped.gov.ph</v>
      </c>
      <c r="O13" s="566"/>
    </row>
    <row r="14" spans="1:16" ht="20.100000000000001" customHeight="1" thickBot="1" x14ac:dyDescent="0.3">
      <c r="B14" s="532" t="s">
        <v>952</v>
      </c>
      <c r="C14" s="533"/>
      <c r="D14" s="533"/>
      <c r="E14" s="533"/>
      <c r="F14" s="531" t="str" cm="1">
        <f t="array" ref="F14">school_attribs[curricular_classification]</f>
        <v>Grade 7-10</v>
      </c>
      <c r="G14" s="531"/>
      <c r="H14" s="531"/>
      <c r="I14" s="531"/>
      <c r="J14" s="141"/>
      <c r="K14" s="563"/>
      <c r="L14" s="564"/>
      <c r="M14" s="564"/>
      <c r="N14" s="564"/>
      <c r="O14" s="567"/>
    </row>
    <row r="15" spans="1:16" ht="20.100000000000001" customHeight="1" x14ac:dyDescent="0.25">
      <c r="B15" s="395"/>
      <c r="C15" s="65"/>
      <c r="D15" s="65"/>
      <c r="E15" s="396" t="s">
        <v>1003</v>
      </c>
      <c r="F15" s="397" t="str">
        <f>meta_office_version</f>
        <v>Not supported or Macro is disabled</v>
      </c>
      <c r="G15" s="65"/>
    </row>
    <row r="16" spans="1:16" ht="18" customHeight="1" x14ac:dyDescent="0.25">
      <c r="B16" s="241"/>
      <c r="C16" s="65"/>
      <c r="D16" s="65"/>
      <c r="E16" s="65"/>
      <c r="F16" s="65"/>
      <c r="G16" s="65"/>
    </row>
    <row r="17" spans="3:15" ht="30" customHeight="1" x14ac:dyDescent="0.4">
      <c r="C17" s="77"/>
      <c r="G17" s="289" t="s">
        <v>1004</v>
      </c>
      <c r="H17" s="290"/>
      <c r="I17" s="290"/>
    </row>
    <row r="18" spans="3:15" ht="39.950000000000003" customHeight="1" x14ac:dyDescent="0.25">
      <c r="G18" s="369" t="s">
        <v>1005</v>
      </c>
      <c r="H18" s="291"/>
      <c r="I18" s="364">
        <f>IF(PART1_locked,1, 0)</f>
        <v>0</v>
      </c>
    </row>
    <row r="19" spans="3:15" ht="39.950000000000003" customHeight="1" x14ac:dyDescent="0.25">
      <c r="G19" s="369" t="s">
        <v>1006</v>
      </c>
      <c r="H19" s="291"/>
      <c r="I19" s="364">
        <f>IF(PART2_locked,1, 0)</f>
        <v>0</v>
      </c>
      <c r="O19" s="293"/>
    </row>
    <row r="20" spans="3:15" ht="39.950000000000003" customHeight="1" x14ac:dyDescent="0.25">
      <c r="G20" s="369" t="s">
        <v>1007</v>
      </c>
      <c r="H20" s="291"/>
      <c r="I20" s="364">
        <f>I18</f>
        <v>0</v>
      </c>
      <c r="K20" s="294" t="s">
        <v>1008</v>
      </c>
    </row>
    <row r="21" spans="3:15" ht="39.950000000000003" customHeight="1" x14ac:dyDescent="0.25">
      <c r="G21" s="369" t="s">
        <v>1009</v>
      </c>
      <c r="H21" s="291"/>
      <c r="I21" s="364">
        <f>IF(PART4_locked,1, 0)</f>
        <v>0</v>
      </c>
    </row>
    <row r="25" spans="3:15" ht="15.6" customHeight="1" x14ac:dyDescent="0.25">
      <c r="E25" s="54"/>
    </row>
    <row r="26" spans="3:15" ht="15.6" customHeight="1" x14ac:dyDescent="0.25">
      <c r="E26" s="54"/>
    </row>
    <row r="27" spans="3:15" ht="15.6" customHeight="1" x14ac:dyDescent="0.25">
      <c r="E27" s="54"/>
    </row>
    <row r="28" spans="3:15" ht="15.6" customHeight="1" x14ac:dyDescent="0.25">
      <c r="E28" s="54"/>
    </row>
    <row r="29" spans="3:15" ht="15.6" customHeight="1" x14ac:dyDescent="0.25">
      <c r="E29" s="54"/>
    </row>
    <row r="30" spans="3:15" ht="15.6" customHeight="1" x14ac:dyDescent="0.25">
      <c r="E30" s="54"/>
    </row>
    <row r="31" spans="3:15" ht="15.6" customHeight="1" x14ac:dyDescent="0.25">
      <c r="E31" s="54"/>
    </row>
    <row r="32" spans="3:15" ht="15.6" customHeight="1" x14ac:dyDescent="0.25">
      <c r="E32" s="54"/>
    </row>
    <row r="33" spans="5:5" ht="15.6" customHeight="1" x14ac:dyDescent="0.25">
      <c r="E33" s="54"/>
    </row>
    <row r="34" spans="5:5" ht="15.6" customHeight="1" x14ac:dyDescent="0.25">
      <c r="E34" s="54"/>
    </row>
    <row r="35" spans="5:5" ht="15.6" customHeight="1" x14ac:dyDescent="0.25">
      <c r="E35" s="54"/>
    </row>
    <row r="36" spans="5:5" ht="15.6" customHeight="1" x14ac:dyDescent="0.25">
      <c r="E36" s="54"/>
    </row>
    <row r="37" spans="5:5" ht="15.6" customHeight="1" x14ac:dyDescent="0.25">
      <c r="E37" s="54"/>
    </row>
  </sheetData>
  <sheetProtection algorithmName="SHA-512" hashValue="n+rgUudKC8uiP4Pme7fLKwdO8CnNXVyJiOiiZsnvFA+HUe3ry9Yn8zoynavWHAWtQY3hf/5ohd+gObf+EPCuuQ==" saltValue="ZE565wygAIbvDTCzSNBabg==" spinCount="100000" sheet="1" objects="1" scenarios="1" selectLockedCells="1"/>
  <mergeCells count="35">
    <mergeCell ref="K7:M7"/>
    <mergeCell ref="N7:O7"/>
    <mergeCell ref="F11:I11"/>
    <mergeCell ref="B8:E8"/>
    <mergeCell ref="F8:I8"/>
    <mergeCell ref="K10:M10"/>
    <mergeCell ref="N10:O10"/>
    <mergeCell ref="B9:E9"/>
    <mergeCell ref="F9:I9"/>
    <mergeCell ref="K11:M11"/>
    <mergeCell ref="N11:O11"/>
    <mergeCell ref="A1:P1"/>
    <mergeCell ref="A2:P2"/>
    <mergeCell ref="A3:P3"/>
    <mergeCell ref="B14:E14"/>
    <mergeCell ref="F14:I14"/>
    <mergeCell ref="B12:E12"/>
    <mergeCell ref="F12:I12"/>
    <mergeCell ref="K12:M12"/>
    <mergeCell ref="N12:O12"/>
    <mergeCell ref="B13:E13"/>
    <mergeCell ref="F13:I13"/>
    <mergeCell ref="B10:E10"/>
    <mergeCell ref="F10:I10"/>
    <mergeCell ref="B11:E11"/>
    <mergeCell ref="B7:E7"/>
    <mergeCell ref="F7:I7"/>
    <mergeCell ref="K13:M13"/>
    <mergeCell ref="K14:M14"/>
    <mergeCell ref="N13:O13"/>
    <mergeCell ref="N14:O14"/>
    <mergeCell ref="K8:M8"/>
    <mergeCell ref="K9:M9"/>
    <mergeCell ref="N8:O8"/>
    <mergeCell ref="N9:O9"/>
  </mergeCells>
  <conditionalFormatting sqref="A1:XFD7 A8:K9 N8:N9 P8:XFD9 A10:XFD1048576">
    <cfRule type="expression" dxfId="189" priority="8">
      <formula>career_stage="HP"</formula>
    </cfRule>
    <cfRule type="expression" dxfId="188" priority="9">
      <formula>career_stage="P"</formula>
    </cfRule>
  </conditionalFormatting>
  <conditionalFormatting sqref="I18:I21">
    <cfRule type="iconSet" priority="1">
      <iconSet iconSet="3Symbols2" showValue="0">
        <cfvo type="percent" val="0"/>
        <cfvo type="num" val="0" gte="0"/>
        <cfvo type="num" val="1"/>
      </iconSet>
    </cfRule>
  </conditionalFormatting>
  <hyperlinks>
    <hyperlink ref="G18" location="'Encoding Part 1'!A1" display="Part 1:" xr:uid="{A6784569-55B0-8E44-8783-9AC0712814FA}"/>
    <hyperlink ref="G19" location="'Encoding Part 2'!A1" display="Part 2:" xr:uid="{409DF687-7B20-D24C-85C2-07D39749B0A6}"/>
    <hyperlink ref="G20" location="'PART 3'!A1" display="Part 3:" xr:uid="{4D3D9415-58CE-8A4D-A850-603C90DA0F09}"/>
    <hyperlink ref="G21" location="'PART 4'!A1" display="Part 4:" xr:uid="{EFBB7CA9-C5A3-FE40-BC59-BB4377C77D22}"/>
  </hyperlinks>
  <pageMargins left="0.7" right="0.7" top="0.75" bottom="0.75" header="0.3" footer="0.3"/>
  <pageSetup scale="80" orientation="landscape"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92515" r:id="rId4" name="elembox_01">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16" r:id="rId5" name="elembox_02">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17" r:id="rId6" name="elembox_03">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18" r:id="rId7" name="elembox_04">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19" r:id="rId8" name="elembox_05">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20" r:id="rId9" name="elembox_06">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21" r:id="rId10" name="elembox_07">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22" r:id="rId11" name="elembox_08">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23" r:id="rId12" name="elembox_09">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24" r:id="rId13" name="jhsbox_01">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25" r:id="rId14" name="jhsbox_02">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26" r:id="rId15" name="jhsbox_03">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27" r:id="rId16" name="jhsbox_04">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28" r:id="rId17" name="jhsbox_05">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29" r:id="rId18" name="jhsbox_06">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30" r:id="rId19" name="shsbox_01">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31" r:id="rId20" name="shsbox_02">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32" r:id="rId21" name="shsbox_03">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50" r:id="rId22" name="subjectsbox_01">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51" r:id="rId23" name="subjectsbox_02">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52" r:id="rId24" name="subjectsbox_03">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53" r:id="rId25" name="subjectsbox_04">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54" r:id="rId26" name="subjectsbox_05">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55" r:id="rId27" name="subjectsbox_06">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56" r:id="rId28" name="subjectsbox_07">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57" r:id="rId29" name="subjectsbox_08">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58" r:id="rId30" name="subjectsbox_09">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59" r:id="rId31" name="subjectsbox_10">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60" r:id="rId32" name="subjectsbox_11">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61" r:id="rId33" name="subjectsbox_12">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62" r:id="rId34" name="subjectsbox_13">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63" r:id="rId35" name="subjectsbox_14">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64" r:id="rId36" name="subjectsbox_15">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65" r:id="rId37" name="subjectsbox_16">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66" r:id="rId38" name="subjectsbox_17">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67" r:id="rId39" name="subjectsbox_18">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68" r:id="rId40" name="subjectsbox_19">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69" r:id="rId41" name="subjectsbox_20">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70" r:id="rId42" name="strandsbox_01">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71" r:id="rId43" name="strandsbox_02">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72" r:id="rId44" name="strandsbox_03">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73" r:id="rId45" name="strandsbox_04">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74" r:id="rId46" name="strandsbox_05">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75" r:id="rId47" name="strandsbox_06">
              <controlPr defaultSize="0" autoFill="0" autoLine="0" autoPict="0">
                <anchor moveWithCells="1">
                  <from>
                    <xdr:col>7</xdr:col>
                    <xdr:colOff>28575</xdr:colOff>
                    <xdr:row>16</xdr:row>
                    <xdr:rowOff>0</xdr:rowOff>
                  </from>
                  <to>
                    <xdr:col>9</xdr:col>
                    <xdr:colOff>0</xdr:colOff>
                    <xdr:row>16</xdr:row>
                    <xdr:rowOff>228600</xdr:rowOff>
                  </to>
                </anchor>
              </controlPr>
            </control>
          </mc:Choice>
        </mc:AlternateContent>
        <mc:AlternateContent xmlns:mc="http://schemas.openxmlformats.org/markup-compatibility/2006">
          <mc:Choice Requires="x14">
            <control shapeId="192576" r:id="rId48" name="strandsbox_07">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77" r:id="rId49" name="strandsbox_08">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78" r:id="rId50" name="strandsbox_09">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79" r:id="rId51" name="strandsbox_10">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80" r:id="rId52" name="strandsbox_11">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81" r:id="rId53" name="strandsbox_12">
              <controlPr defaultSize="0" autoFill="0" autoLine="0" autoPict="0">
                <anchor moveWithCells="1">
                  <from>
                    <xdr:col>13</xdr:col>
                    <xdr:colOff>28575</xdr:colOff>
                    <xdr:row>16</xdr:row>
                    <xdr:rowOff>0</xdr:rowOff>
                  </from>
                  <to>
                    <xdr:col>14</xdr:col>
                    <xdr:colOff>1095375</xdr:colOff>
                    <xdr:row>16</xdr:row>
                    <xdr:rowOff>228600</xdr:rowOff>
                  </to>
                </anchor>
              </controlPr>
            </control>
          </mc:Choice>
        </mc:AlternateContent>
        <mc:AlternateContent xmlns:mc="http://schemas.openxmlformats.org/markup-compatibility/2006">
          <mc:Choice Requires="x14">
            <control shapeId="192585" r:id="rId54" name="Button 73">
              <controlPr defaultSize="0" print="0" autoFill="0" autoPict="0" macro="[0]!Status_Sheet.ToggleFormsClick">
                <anchor moveWithCells="1" sizeWithCells="1">
                  <from>
                    <xdr:col>10</xdr:col>
                    <xdr:colOff>9525</xdr:colOff>
                    <xdr:row>17</xdr:row>
                    <xdr:rowOff>314325</xdr:rowOff>
                  </from>
                  <to>
                    <xdr:col>13</xdr:col>
                    <xdr:colOff>152400</xdr:colOff>
                    <xdr:row>18</xdr:row>
                    <xdr:rowOff>466725</xdr:rowOff>
                  </to>
                </anchor>
              </controlPr>
            </control>
          </mc:Choice>
        </mc:AlternateContent>
        <mc:AlternateContent xmlns:mc="http://schemas.openxmlformats.org/markup-compatibility/2006">
          <mc:Choice Requires="x14">
            <control shapeId="192586" r:id="rId55" name="Button 74">
              <controlPr defaultSize="0" print="0" autoFill="0" autoPict="0" macro="[0]!Status_Sheet.EditProfile">
                <anchor moveWithCells="1" sizeWithCells="1">
                  <from>
                    <xdr:col>2</xdr:col>
                    <xdr:colOff>381000</xdr:colOff>
                    <xdr:row>17</xdr:row>
                    <xdr:rowOff>333375</xdr:rowOff>
                  </from>
                  <to>
                    <xdr:col>5</xdr:col>
                    <xdr:colOff>0</xdr:colOff>
                    <xdr:row>18</xdr:row>
                    <xdr:rowOff>495300</xdr:rowOff>
                  </to>
                </anchor>
              </controlPr>
            </control>
          </mc:Choice>
        </mc:AlternateContent>
        <mc:AlternateContent xmlns:mc="http://schemas.openxmlformats.org/markup-compatibility/2006">
          <mc:Choice Requires="x14">
            <control shapeId="192587" r:id="rId56" name="Button 75">
              <controlPr defaultSize="0" print="0" autoFill="0" autoPict="0" macro="[0]!ForceFix">
                <anchor moveWithCells="1" sizeWithCells="1">
                  <from>
                    <xdr:col>6</xdr:col>
                    <xdr:colOff>990600</xdr:colOff>
                    <xdr:row>42</xdr:row>
                    <xdr:rowOff>47625</xdr:rowOff>
                  </from>
                  <to>
                    <xdr:col>7</xdr:col>
                    <xdr:colOff>219075</xdr:colOff>
                    <xdr:row>44</xdr:row>
                    <xdr:rowOff>152400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359B1-F5FE-4CF3-823A-6DB51E8A70A1}">
  <sheetPr codeName="Encoding_Part1">
    <pageSetUpPr fitToPage="1"/>
  </sheetPr>
  <dimension ref="A1:DL104"/>
  <sheetViews>
    <sheetView showGridLines="0" topLeftCell="N5" zoomScale="80" zoomScaleNormal="80" workbookViewId="0">
      <selection activeCell="X7" sqref="X7:Z7"/>
    </sheetView>
  </sheetViews>
  <sheetFormatPr defaultColWidth="8.85546875" defaultRowHeight="15.6" customHeight="1" x14ac:dyDescent="0.25"/>
  <cols>
    <col min="1" max="1" width="5.28515625" style="47" customWidth="1"/>
    <col min="2" max="2" width="3.7109375" style="47" hidden="1" customWidth="1"/>
    <col min="3" max="3" width="6.42578125" style="148" hidden="1" customWidth="1"/>
    <col min="4" max="4" width="15.140625" style="148" hidden="1" customWidth="1"/>
    <col min="5" max="5" width="7.28515625" style="148" hidden="1" customWidth="1"/>
    <col min="6" max="6" width="10.42578125" style="148" hidden="1" customWidth="1"/>
    <col min="7" max="7" width="9.28515625" style="47" hidden="1" customWidth="1"/>
    <col min="8" max="8" width="7.140625" style="47" hidden="1" customWidth="1"/>
    <col min="9" max="9" width="8.42578125" style="47" hidden="1" customWidth="1"/>
    <col min="10" max="10" width="6.85546875" style="47" hidden="1" customWidth="1"/>
    <col min="11" max="11" width="6.140625" style="47" hidden="1" customWidth="1"/>
    <col min="12" max="12" width="11.42578125" style="47" hidden="1" customWidth="1"/>
    <col min="13" max="13" width="13.42578125" style="47" customWidth="1"/>
    <col min="14" max="14" width="11.140625" style="47" customWidth="1"/>
    <col min="15" max="15" width="8.85546875" style="47" customWidth="1"/>
    <col min="16" max="16" width="15.28515625" style="47" customWidth="1"/>
    <col min="17" max="17" width="12.7109375" style="47" customWidth="1"/>
    <col min="18" max="26" width="10.85546875" style="47" customWidth="1"/>
    <col min="27" max="27" width="15.42578125" style="47" customWidth="1"/>
    <col min="28" max="30" width="8.28515625" style="47" customWidth="1"/>
    <col min="31" max="31" width="11.7109375" style="47" customWidth="1"/>
    <col min="32" max="32" width="11.42578125" style="47" customWidth="1"/>
    <col min="33" max="33" width="22.28515625" style="47" customWidth="1"/>
    <col min="34" max="34" width="8.85546875" style="47" customWidth="1"/>
    <col min="35" max="47" width="8.85546875" style="47" hidden="1" customWidth="1"/>
    <col min="48" max="48" width="9" style="47" hidden="1" customWidth="1"/>
    <col min="49" max="49" width="8.42578125" style="47" hidden="1" customWidth="1"/>
    <col min="50" max="55" width="8.85546875" style="47" hidden="1" customWidth="1"/>
    <col min="56" max="56" width="23" style="47" hidden="1" customWidth="1"/>
    <col min="57" max="66" width="8.85546875" style="47" hidden="1" customWidth="1"/>
    <col min="67" max="67" width="8.85546875" style="148" hidden="1" customWidth="1"/>
    <col min="68" max="68" width="10.140625" style="47" hidden="1" customWidth="1"/>
    <col min="69" max="75" width="8.85546875" style="47" hidden="1" customWidth="1"/>
    <col min="76" max="77" width="14.28515625" style="47" hidden="1" customWidth="1"/>
    <col min="78" max="78" width="14.140625" style="47" hidden="1" customWidth="1"/>
    <col min="79" max="79" width="14" style="47" hidden="1" customWidth="1"/>
    <col min="80" max="80" width="11.7109375" style="47" hidden="1" customWidth="1"/>
    <col min="81" max="81" width="12.85546875" style="47" hidden="1" customWidth="1"/>
    <col min="82" max="82" width="12.7109375" style="47" hidden="1" customWidth="1"/>
    <col min="83" max="102" width="8.85546875" style="47" hidden="1" customWidth="1"/>
    <col min="103" max="110" width="8.85546875" style="148" hidden="1" customWidth="1"/>
    <col min="111" max="111" width="17.28515625" style="148" hidden="1" customWidth="1"/>
    <col min="112" max="114" width="8.85546875" style="47" hidden="1" customWidth="1"/>
    <col min="115" max="16384" width="8.85546875" style="47"/>
  </cols>
  <sheetData>
    <row r="1" spans="1:111" s="61" customFormat="1" ht="20.25" x14ac:dyDescent="0.25">
      <c r="A1" s="263"/>
      <c r="B1" s="263"/>
      <c r="C1" s="263"/>
      <c r="D1" s="263"/>
      <c r="E1" s="263"/>
      <c r="F1" s="263"/>
      <c r="G1" s="263"/>
      <c r="H1" s="263"/>
      <c r="I1" s="263"/>
      <c r="J1" s="263"/>
      <c r="K1" s="263"/>
      <c r="L1" s="263"/>
      <c r="M1" s="603" t="str">
        <f>"Official Electronic IPCRF Tool v"&amp;meta!$B$3</f>
        <v>Official Electronic IPCRF Tool v4.3</v>
      </c>
      <c r="N1" s="603"/>
      <c r="O1" s="603"/>
      <c r="P1" s="603"/>
      <c r="Q1" s="603"/>
      <c r="R1" s="603"/>
      <c r="S1" s="603"/>
      <c r="T1" s="603"/>
      <c r="U1" s="603"/>
      <c r="V1" s="603"/>
      <c r="W1" s="603"/>
      <c r="X1" s="603"/>
      <c r="Y1" s="603"/>
      <c r="Z1" s="603"/>
      <c r="AA1" s="603"/>
      <c r="AB1" s="603"/>
      <c r="AC1" s="603"/>
      <c r="AD1" s="603"/>
      <c r="AE1" s="603"/>
      <c r="AF1" s="603"/>
      <c r="AG1" s="603"/>
      <c r="BO1" s="442"/>
      <c r="CY1" s="442"/>
      <c r="CZ1" s="442"/>
      <c r="DA1" s="442"/>
      <c r="DB1" s="442"/>
      <c r="DC1" s="442"/>
      <c r="DD1" s="442"/>
      <c r="DE1" s="442"/>
      <c r="DF1" s="442"/>
      <c r="DG1" s="442"/>
    </row>
    <row r="2" spans="1:111" ht="20.25" x14ac:dyDescent="0.25">
      <c r="A2" s="220"/>
      <c r="B2" s="220"/>
      <c r="C2" s="220"/>
      <c r="D2" s="220"/>
      <c r="E2" s="220"/>
      <c r="F2" s="220"/>
      <c r="G2" s="220"/>
      <c r="H2" s="220"/>
      <c r="I2" s="220"/>
      <c r="J2" s="220"/>
      <c r="K2" s="220"/>
      <c r="L2" s="220"/>
      <c r="M2" s="604" t="str">
        <f>selected_career_stage &amp; " " &amp; selected_teacher_type</f>
        <v>Proficient Regular Teacher</v>
      </c>
      <c r="N2" s="604"/>
      <c r="O2" s="604"/>
      <c r="P2" s="604"/>
      <c r="Q2" s="604"/>
      <c r="R2" s="604"/>
      <c r="S2" s="604"/>
      <c r="T2" s="604"/>
      <c r="U2" s="604"/>
      <c r="V2" s="604"/>
      <c r="W2" s="604"/>
      <c r="X2" s="604"/>
      <c r="Y2" s="604"/>
      <c r="Z2" s="604"/>
      <c r="AA2" s="604"/>
      <c r="AB2" s="604"/>
      <c r="AC2" s="604"/>
      <c r="AD2" s="604"/>
      <c r="AE2" s="604"/>
      <c r="AF2" s="604"/>
      <c r="AG2" s="604"/>
    </row>
    <row r="3" spans="1:111" ht="20.25" x14ac:dyDescent="0.25">
      <c r="A3" s="220"/>
      <c r="B3" s="220"/>
      <c r="C3" s="220"/>
      <c r="D3" s="220"/>
      <c r="E3" s="220"/>
      <c r="F3" s="220"/>
      <c r="G3" s="220"/>
      <c r="H3" s="220"/>
      <c r="I3" s="220"/>
      <c r="J3" s="220"/>
      <c r="K3" s="220"/>
      <c r="L3" s="220"/>
      <c r="M3" s="604" t="str" cm="1">
        <f t="array" ref="M3">demographics[rating_period]</f>
        <v>SY 2023-2024</v>
      </c>
      <c r="N3" s="604"/>
      <c r="O3" s="604"/>
      <c r="P3" s="604"/>
      <c r="Q3" s="604"/>
      <c r="R3" s="604"/>
      <c r="S3" s="604"/>
      <c r="T3" s="604"/>
      <c r="U3" s="604"/>
      <c r="V3" s="604"/>
      <c r="W3" s="604"/>
      <c r="X3" s="604"/>
      <c r="Y3" s="604"/>
      <c r="Z3" s="604"/>
      <c r="AA3" s="604"/>
      <c r="AB3" s="604"/>
      <c r="AC3" s="604"/>
      <c r="AD3" s="604"/>
      <c r="AE3" s="604"/>
      <c r="AF3" s="604"/>
      <c r="AG3" s="604"/>
      <c r="AI3" s="77"/>
    </row>
    <row r="4" spans="1:111" ht="365.1" customHeight="1" x14ac:dyDescent="0.25">
      <c r="A4" s="220"/>
      <c r="B4" s="220"/>
      <c r="C4" s="220"/>
      <c r="D4" s="220"/>
      <c r="E4" s="220"/>
      <c r="F4" s="220"/>
      <c r="G4" s="220"/>
      <c r="H4" s="220"/>
      <c r="I4" s="220"/>
      <c r="J4" s="220"/>
      <c r="K4" s="220"/>
      <c r="L4" s="220"/>
      <c r="M4" s="604" t="s">
        <v>1010</v>
      </c>
      <c r="N4" s="604"/>
      <c r="O4" s="604"/>
      <c r="P4" s="604"/>
      <c r="Q4" s="604"/>
      <c r="R4" s="604"/>
      <c r="S4" s="604"/>
      <c r="T4" s="604"/>
      <c r="U4" s="604"/>
      <c r="V4" s="604"/>
      <c r="W4" s="604"/>
      <c r="X4" s="604"/>
      <c r="Y4" s="604"/>
      <c r="Z4" s="604"/>
      <c r="AA4" s="604"/>
      <c r="AB4" s="604"/>
      <c r="AC4" s="604"/>
      <c r="AD4" s="604"/>
      <c r="AE4" s="604"/>
      <c r="AF4" s="604"/>
      <c r="AG4" s="604"/>
    </row>
    <row r="5" spans="1:111" ht="17.100000000000001" customHeight="1" x14ac:dyDescent="0.25">
      <c r="A5" s="197"/>
      <c r="B5" s="197"/>
      <c r="C5" s="197"/>
      <c r="D5" s="197"/>
      <c r="E5" s="197"/>
      <c r="F5" s="197"/>
      <c r="G5" s="197"/>
      <c r="H5" s="197"/>
      <c r="I5" s="197"/>
      <c r="J5" s="197"/>
      <c r="K5" s="197"/>
      <c r="L5" s="197"/>
      <c r="M5" s="197"/>
      <c r="N5" s="197"/>
      <c r="O5" s="197"/>
      <c r="P5" s="197"/>
      <c r="Q5" s="197"/>
      <c r="R5" s="197"/>
      <c r="S5" s="197"/>
      <c r="T5" s="197"/>
      <c r="U5" s="197"/>
      <c r="V5" s="197"/>
      <c r="W5" s="197"/>
      <c r="X5" s="197"/>
      <c r="Y5" s="197"/>
      <c r="Z5" s="197"/>
      <c r="AA5" s="197"/>
      <c r="AB5" s="197"/>
      <c r="AC5" s="197"/>
      <c r="AD5" s="197"/>
      <c r="AE5" s="197"/>
      <c r="AF5" s="197"/>
      <c r="AG5" s="197"/>
      <c r="AI5" s="77" t="s">
        <v>1011</v>
      </c>
    </row>
    <row r="6" spans="1:111" ht="18" customHeight="1" thickBot="1" x14ac:dyDescent="0.3">
      <c r="A6" s="197"/>
      <c r="B6" s="197"/>
      <c r="C6" s="197"/>
      <c r="D6" s="197"/>
      <c r="E6" s="197"/>
      <c r="F6" s="197"/>
      <c r="G6" s="197"/>
      <c r="H6" s="197"/>
      <c r="I6" s="197"/>
      <c r="J6" s="197"/>
      <c r="K6" s="197"/>
      <c r="L6" s="197"/>
      <c r="M6" s="197"/>
      <c r="N6" s="197"/>
      <c r="O6" s="197"/>
      <c r="P6" s="197"/>
      <c r="Q6" s="197"/>
      <c r="R6" s="197"/>
      <c r="S6" s="197"/>
      <c r="T6" s="197"/>
      <c r="U6" s="197"/>
      <c r="V6" s="197"/>
      <c r="W6" s="197"/>
      <c r="X6" s="197"/>
      <c r="Y6" s="197"/>
      <c r="Z6" s="197"/>
      <c r="AA6" s="197"/>
      <c r="AB6" s="197"/>
      <c r="AC6" s="197"/>
      <c r="AD6" s="197"/>
      <c r="AE6" s="197"/>
      <c r="AF6" s="197"/>
      <c r="AG6" s="197"/>
      <c r="AI6" s="148" t="s">
        <v>728</v>
      </c>
      <c r="AJ6" s="148" t="s">
        <v>1012</v>
      </c>
      <c r="AK6" s="148" t="s">
        <v>730</v>
      </c>
      <c r="AL6" s="148" t="s">
        <v>1013</v>
      </c>
      <c r="AM6" s="148" t="s">
        <v>1014</v>
      </c>
      <c r="AN6" s="148" t="s">
        <v>1015</v>
      </c>
      <c r="AO6" s="148" t="s">
        <v>1016</v>
      </c>
      <c r="AP6" s="148" t="s">
        <v>1017</v>
      </c>
      <c r="AQ6" s="148" t="s">
        <v>1018</v>
      </c>
      <c r="AR6" s="148" t="s">
        <v>1019</v>
      </c>
      <c r="AS6" s="148" t="s">
        <v>1020</v>
      </c>
      <c r="AT6" s="148" t="s">
        <v>1021</v>
      </c>
      <c r="AU6" s="148" t="s">
        <v>1022</v>
      </c>
      <c r="AV6" s="148" t="s">
        <v>1023</v>
      </c>
      <c r="AW6" s="148" t="s">
        <v>1024</v>
      </c>
      <c r="AX6" s="148" t="s">
        <v>1025</v>
      </c>
      <c r="AY6" s="148" t="s">
        <v>1026</v>
      </c>
      <c r="AZ6" s="148" t="s">
        <v>1027</v>
      </c>
      <c r="BA6" s="148"/>
      <c r="BC6" s="77"/>
    </row>
    <row r="7" spans="1:111" ht="30" customHeight="1" x14ac:dyDescent="0.25">
      <c r="A7" s="197"/>
      <c r="B7" s="197"/>
      <c r="C7" s="197"/>
      <c r="D7" s="197"/>
      <c r="E7" s="197"/>
      <c r="F7" s="197"/>
      <c r="G7" s="197"/>
      <c r="H7" s="197"/>
      <c r="I7" s="197"/>
      <c r="J7" s="197"/>
      <c r="K7" s="197"/>
      <c r="L7" s="197"/>
      <c r="M7" s="300"/>
      <c r="N7" s="301"/>
      <c r="O7" s="301"/>
      <c r="P7" s="298" t="s">
        <v>1028</v>
      </c>
      <c r="Q7" s="583" t="str" cm="1">
        <f t="array" ref="Q7">demographics[firstname] &amp; " " &amp; IF(demographics[middlename]="","",LEFT(demographics[middlename],1)&amp;". ") &amp; demographics[lastname]</f>
        <v>ROWENA S. GOLLA</v>
      </c>
      <c r="R7" s="583"/>
      <c r="S7" s="583"/>
      <c r="T7" s="583"/>
      <c r="U7" s="584"/>
      <c r="V7" s="597" t="s">
        <v>1029</v>
      </c>
      <c r="W7" s="598"/>
      <c r="X7" s="587" t="s">
        <v>1993</v>
      </c>
      <c r="Y7" s="588"/>
      <c r="Z7" s="589"/>
      <c r="AA7" s="334" t="s">
        <v>1030</v>
      </c>
      <c r="AB7" s="593" t="s">
        <v>1994</v>
      </c>
      <c r="AC7" s="588"/>
      <c r="AD7" s="589"/>
      <c r="AE7" s="334" t="s">
        <v>1031</v>
      </c>
      <c r="AF7" s="593" t="s">
        <v>1995</v>
      </c>
      <c r="AG7" s="594"/>
      <c r="AH7" s="196"/>
      <c r="AI7" s="201" t="b">
        <v>1</v>
      </c>
      <c r="AJ7" s="201" t="b">
        <v>1</v>
      </c>
      <c r="AK7" s="201" t="b">
        <v>1</v>
      </c>
      <c r="AL7" s="201" t="b">
        <v>1</v>
      </c>
      <c r="AM7" s="201" t="b">
        <v>1</v>
      </c>
      <c r="AN7" s="201" t="b">
        <v>1</v>
      </c>
      <c r="AO7" s="201" t="b">
        <v>1</v>
      </c>
      <c r="AP7" s="201" t="b">
        <v>1</v>
      </c>
      <c r="AQ7" s="196" t="b">
        <f>NOT(ISBLANK(encoding_rater_lastname))</f>
        <v>1</v>
      </c>
      <c r="AR7" s="196" t="b">
        <f>AQ7</f>
        <v>1</v>
      </c>
      <c r="AS7" s="196" t="b">
        <f>AR7</f>
        <v>1</v>
      </c>
      <c r="AT7" s="201" t="b">
        <v>1</v>
      </c>
      <c r="AU7" s="196" t="b">
        <f>NOT(ISBLANK(encoding_rater_firstname))</f>
        <v>1</v>
      </c>
      <c r="AV7" s="196" t="b">
        <f>AU7</f>
        <v>1</v>
      </c>
      <c r="AW7" s="196" t="b">
        <f>AU7</f>
        <v>1</v>
      </c>
      <c r="AX7" s="201" t="b">
        <v>1</v>
      </c>
      <c r="AY7" s="196" t="b">
        <v>1</v>
      </c>
      <c r="AZ7" s="196" t="b">
        <f>AY7</f>
        <v>1</v>
      </c>
      <c r="BA7" s="201"/>
      <c r="BC7" s="218" t="s">
        <v>1032</v>
      </c>
    </row>
    <row r="8" spans="1:111" ht="30" customHeight="1" x14ac:dyDescent="0.25">
      <c r="A8" s="197"/>
      <c r="B8" s="197"/>
      <c r="C8" s="197"/>
      <c r="D8" s="197"/>
      <c r="E8" s="197"/>
      <c r="F8" s="197"/>
      <c r="G8" s="197"/>
      <c r="H8" s="197"/>
      <c r="I8" s="197"/>
      <c r="J8" s="197"/>
      <c r="K8" s="197"/>
      <c r="L8" s="197"/>
      <c r="M8" s="302"/>
      <c r="N8" s="303"/>
      <c r="O8" s="303"/>
      <c r="P8" s="297" t="s">
        <v>943</v>
      </c>
      <c r="Q8" s="585" t="str" cm="1">
        <f t="array" ref="Q8">demographics[position]</f>
        <v>Teacher III</v>
      </c>
      <c r="R8" s="585"/>
      <c r="S8" s="585"/>
      <c r="T8" s="585"/>
      <c r="U8" s="586"/>
      <c r="V8" s="599" t="s">
        <v>1033</v>
      </c>
      <c r="W8" s="600"/>
      <c r="X8" s="590" t="s">
        <v>813</v>
      </c>
      <c r="Y8" s="591"/>
      <c r="Z8" s="592"/>
      <c r="AA8" s="335" t="s">
        <v>1034</v>
      </c>
      <c r="AB8" s="580" t="s">
        <v>1996</v>
      </c>
      <c r="AC8" s="581"/>
      <c r="AD8" s="581"/>
      <c r="AE8" s="581"/>
      <c r="AF8" s="581"/>
      <c r="AG8" s="582"/>
      <c r="AI8" s="201" t="b">
        <v>1</v>
      </c>
      <c r="AJ8" s="201" t="b">
        <v>1</v>
      </c>
      <c r="AK8" s="201" t="b">
        <v>1</v>
      </c>
      <c r="AL8" s="201" t="b">
        <v>1</v>
      </c>
      <c r="AM8" s="201" t="b">
        <v>1</v>
      </c>
      <c r="AN8" s="201" t="b">
        <v>1</v>
      </c>
      <c r="AO8" s="201" t="b">
        <v>1</v>
      </c>
      <c r="AP8" s="201" t="b">
        <v>1</v>
      </c>
      <c r="AQ8" s="196" t="b">
        <f ca="1">AND(NOT(ISBLANK(encoding_rater_position)),BC8)</f>
        <v>1</v>
      </c>
      <c r="AR8" s="196" t="b">
        <f t="shared" ref="AR8:AR9" ca="1" si="0">AQ8</f>
        <v>1</v>
      </c>
      <c r="AS8" s="196" t="b">
        <f ca="1">AR8</f>
        <v>1</v>
      </c>
      <c r="AT8" s="201" t="b">
        <v>1</v>
      </c>
      <c r="AU8" s="196" t="b">
        <f>NOT(ISBLANK(encoding_rater_email))</f>
        <v>1</v>
      </c>
      <c r="AV8" s="196" t="b">
        <f>AU8</f>
        <v>1</v>
      </c>
      <c r="AW8" s="196" t="b">
        <f>AU8</f>
        <v>1</v>
      </c>
      <c r="AX8" s="196" t="b">
        <f>AU8</f>
        <v>1</v>
      </c>
      <c r="AY8" s="196" t="b">
        <f>AU8</f>
        <v>1</v>
      </c>
      <c r="AZ8" s="196" t="b">
        <f>AU8</f>
        <v>1</v>
      </c>
      <c r="BA8" s="201"/>
      <c r="BB8" s="149" t="str" cm="1">
        <f t="array" aca="1" ref="BB8" ca="1">CELL("address",X8)</f>
        <v>$X$8</v>
      </c>
      <c r="BC8" s="148" t="b">
        <f ca="1">IFERROR(IF(BE8=FALSE,FALSE,BE8&gt;0),FALSE)</f>
        <v>1</v>
      </c>
      <c r="BD8" s="47" t="s">
        <v>1035</v>
      </c>
      <c r="BE8" s="47">
        <f t="array" aca="1" ref="BE8" ca="1">IFERROR(MATCH(TRUE,EXACT(INDIRECT(BB8),INDIRECT(BD8)),0),EXACT(INDIRECT(BB8),INDIRECT(BD8)))</f>
        <v>23</v>
      </c>
    </row>
    <row r="9" spans="1:111" ht="30" customHeight="1" x14ac:dyDescent="0.25">
      <c r="A9" s="197"/>
      <c r="B9" s="197"/>
      <c r="C9" s="197"/>
      <c r="D9" s="197"/>
      <c r="E9" s="197"/>
      <c r="F9" s="197"/>
      <c r="G9" s="197"/>
      <c r="H9" s="197"/>
      <c r="I9" s="197"/>
      <c r="J9" s="197"/>
      <c r="K9" s="197"/>
      <c r="L9" s="197"/>
      <c r="M9" s="302"/>
      <c r="N9" s="303"/>
      <c r="O9" s="303"/>
      <c r="P9" s="297" t="s">
        <v>1036</v>
      </c>
      <c r="Q9" s="585" t="str" cm="1">
        <f t="array" ref="Q9">school_attribs[school_name] &amp; " - " &amp; school_attribs[division_name]</f>
        <v>ANTIPOLO NATIONAL HIGH SCHOOL - Antipolo City</v>
      </c>
      <c r="R9" s="585"/>
      <c r="S9" s="585"/>
      <c r="T9" s="585"/>
      <c r="U9" s="586"/>
      <c r="V9" s="599" t="s">
        <v>1037</v>
      </c>
      <c r="W9" s="600"/>
      <c r="X9" s="578"/>
      <c r="Y9" s="579"/>
      <c r="Z9" s="402"/>
      <c r="AA9" s="399"/>
      <c r="AB9" s="404"/>
      <c r="AC9" s="405"/>
      <c r="AD9" s="405"/>
      <c r="AE9" s="405"/>
      <c r="AF9" s="405"/>
      <c r="AG9" s="406"/>
      <c r="AI9" s="201" t="b">
        <v>1</v>
      </c>
      <c r="AJ9" s="201" t="b">
        <v>1</v>
      </c>
      <c r="AK9" s="201" t="b">
        <v>1</v>
      </c>
      <c r="AL9" s="201" t="b">
        <v>1</v>
      </c>
      <c r="AM9" s="201" t="b">
        <v>1</v>
      </c>
      <c r="AN9" s="201" t="b">
        <v>1</v>
      </c>
      <c r="AO9" s="201" t="b">
        <v>1</v>
      </c>
      <c r="AP9" s="201" t="b">
        <v>1</v>
      </c>
      <c r="AQ9" s="196" t="b">
        <f>NOT(ISBLANK(encoding_review_date))</f>
        <v>0</v>
      </c>
      <c r="AR9" s="196" t="b">
        <f t="shared" si="0"/>
        <v>0</v>
      </c>
      <c r="AS9" s="201" t="b">
        <v>1</v>
      </c>
      <c r="AT9" s="201" t="b">
        <v>1</v>
      </c>
      <c r="AU9" s="201" t="b">
        <v>1</v>
      </c>
      <c r="AV9" s="201" t="b">
        <v>1</v>
      </c>
      <c r="AW9" s="201" t="b">
        <v>1</v>
      </c>
      <c r="AX9" s="201" t="b">
        <v>1</v>
      </c>
      <c r="AY9" s="201" t="b">
        <v>1</v>
      </c>
      <c r="AZ9" s="201" t="b">
        <v>1</v>
      </c>
      <c r="BA9" s="201"/>
      <c r="BB9" s="149" t="str" cm="1">
        <f t="array" aca="1" ref="BB9" ca="1">CELL("address",X69)</f>
        <v>$X$69</v>
      </c>
      <c r="BC9" s="148" t="b">
        <f ca="1">IFERROR(IF(BE9=FALSE,FALSE,BE9&gt;0),FALSE)</f>
        <v>1</v>
      </c>
      <c r="BD9" s="47" t="s">
        <v>1038</v>
      </c>
      <c r="BE9" s="47">
        <f t="array" aca="1" ref="BE9" ca="1">IFERROR(MATCH(TRUE,EXACT(INDIRECT(BB9),INDIRECT(BD9)),0),EXACT(INDIRECT(BB9),INDIRECT(BD9)))</f>
        <v>7</v>
      </c>
    </row>
    <row r="10" spans="1:111" ht="30" customHeight="1" thickBot="1" x14ac:dyDescent="0.3">
      <c r="A10" s="197"/>
      <c r="B10" s="197"/>
      <c r="C10" s="197"/>
      <c r="D10" s="197"/>
      <c r="E10" s="197"/>
      <c r="F10" s="197"/>
      <c r="G10" s="197"/>
      <c r="H10" s="197"/>
      <c r="I10" s="197"/>
      <c r="J10" s="197"/>
      <c r="K10" s="197"/>
      <c r="L10" s="197"/>
      <c r="M10" s="309"/>
      <c r="N10" s="304"/>
      <c r="O10" s="304"/>
      <c r="P10" s="310" t="s">
        <v>1039</v>
      </c>
      <c r="Q10" s="595" t="str" cm="1">
        <f t="array" ref="Q10">demographics[rating_period]</f>
        <v>SY 2023-2024</v>
      </c>
      <c r="R10" s="595"/>
      <c r="S10" s="595"/>
      <c r="T10" s="595"/>
      <c r="U10" s="596"/>
      <c r="V10" s="601"/>
      <c r="W10" s="602"/>
      <c r="X10" s="336"/>
      <c r="Y10" s="336"/>
      <c r="Z10" s="337"/>
      <c r="AA10" s="337"/>
      <c r="AB10" s="382"/>
      <c r="AC10" s="337"/>
      <c r="AD10" s="337"/>
      <c r="AE10" s="337"/>
      <c r="AF10" s="337"/>
      <c r="AG10" s="338"/>
      <c r="AI10" s="201" t="b">
        <v>1</v>
      </c>
      <c r="AJ10" s="201" t="b">
        <v>1</v>
      </c>
      <c r="AK10" s="201" t="b">
        <v>1</v>
      </c>
      <c r="AL10" s="201" t="b">
        <v>1</v>
      </c>
      <c r="AM10" s="201" t="b">
        <v>1</v>
      </c>
      <c r="AN10" s="201" t="b">
        <v>1</v>
      </c>
      <c r="AO10" s="201" t="b">
        <v>1</v>
      </c>
      <c r="AP10" s="201" t="b">
        <v>1</v>
      </c>
      <c r="AQ10" s="201" t="b">
        <v>1</v>
      </c>
      <c r="AR10" s="201" t="b">
        <v>1</v>
      </c>
      <c r="AS10" s="201" t="b">
        <v>1</v>
      </c>
      <c r="AT10" s="154" t="b">
        <v>1</v>
      </c>
      <c r="AU10" s="154" t="b">
        <v>1</v>
      </c>
      <c r="AV10" s="154" t="b">
        <v>1</v>
      </c>
      <c r="AW10" s="154" t="b">
        <v>1</v>
      </c>
      <c r="AX10" s="154" t="b">
        <v>1</v>
      </c>
      <c r="AY10" s="154" t="b">
        <v>1</v>
      </c>
      <c r="AZ10" s="154" t="b">
        <v>1</v>
      </c>
      <c r="BA10" s="154"/>
      <c r="BC10" s="77" t="s">
        <v>1040</v>
      </c>
      <c r="BD10" s="77"/>
    </row>
    <row r="11" spans="1:111" ht="26.45" hidden="1" customHeight="1" x14ac:dyDescent="0.25">
      <c r="A11" s="197"/>
      <c r="B11" s="197"/>
      <c r="C11" s="197"/>
      <c r="D11" s="197"/>
      <c r="E11" s="197"/>
      <c r="F11" s="197"/>
      <c r="G11" s="197"/>
      <c r="H11" s="197"/>
      <c r="I11" s="197"/>
      <c r="J11" s="197"/>
      <c r="K11" s="197"/>
      <c r="L11" s="197"/>
      <c r="M11" s="197"/>
      <c r="N11" s="197"/>
      <c r="O11" s="197"/>
      <c r="P11" s="197"/>
      <c r="Q11" s="197"/>
      <c r="R11" s="197"/>
      <c r="S11" s="145">
        <v>1</v>
      </c>
      <c r="T11" s="145"/>
      <c r="U11" s="145">
        <v>2</v>
      </c>
      <c r="V11" s="145"/>
      <c r="W11" s="145">
        <v>3</v>
      </c>
      <c r="X11" s="145"/>
      <c r="Y11" s="145">
        <v>4</v>
      </c>
      <c r="Z11" s="145"/>
      <c r="AA11" s="146"/>
      <c r="AB11" s="197"/>
      <c r="AC11" s="197"/>
      <c r="AD11" s="197"/>
      <c r="AE11" s="197"/>
      <c r="AF11" s="197"/>
      <c r="AG11" s="197"/>
      <c r="AI11" s="201" t="b">
        <v>1</v>
      </c>
      <c r="AJ11" s="201" t="b">
        <v>1</v>
      </c>
      <c r="AK11" s="201" t="b">
        <v>1</v>
      </c>
      <c r="AL11" s="201" t="b">
        <v>1</v>
      </c>
      <c r="AM11" s="201" t="b">
        <v>1</v>
      </c>
      <c r="AN11" s="201" t="b">
        <v>1</v>
      </c>
      <c r="AO11" s="201" t="b">
        <v>1</v>
      </c>
      <c r="AP11" s="201" t="b">
        <v>1</v>
      </c>
      <c r="AQ11" s="201" t="b">
        <v>1</v>
      </c>
      <c r="AR11" s="201" t="b">
        <v>1</v>
      </c>
      <c r="AS11" s="201" t="b">
        <v>1</v>
      </c>
      <c r="AT11" s="154" t="b">
        <v>1</v>
      </c>
      <c r="AU11" s="154" t="b">
        <v>1</v>
      </c>
      <c r="AV11" s="154" t="b">
        <v>1</v>
      </c>
      <c r="AW11" s="154" t="b">
        <v>1</v>
      </c>
      <c r="AX11" s="154" t="b">
        <v>1</v>
      </c>
      <c r="AY11" s="154" t="b">
        <v>1</v>
      </c>
      <c r="AZ11" s="154" t="b">
        <v>1</v>
      </c>
      <c r="BA11" s="154"/>
      <c r="BC11" s="47" t="b">
        <f ca="1">AND(encoding_validation)</f>
        <v>0</v>
      </c>
    </row>
    <row r="12" spans="1:111" ht="23.45" hidden="1" customHeight="1" x14ac:dyDescent="0.25">
      <c r="A12" s="197"/>
      <c r="B12" s="197"/>
      <c r="C12" s="197"/>
      <c r="D12" s="197"/>
      <c r="E12" s="197"/>
      <c r="F12" s="197"/>
      <c r="G12" s="197"/>
      <c r="H12" s="197"/>
      <c r="I12" s="197"/>
      <c r="J12" s="197"/>
      <c r="K12" s="197"/>
      <c r="L12" s="197"/>
      <c r="M12" s="197"/>
      <c r="N12" s="197"/>
      <c r="O12" s="197"/>
      <c r="P12" s="206" t="s">
        <v>1041</v>
      </c>
      <c r="Q12" s="197"/>
      <c r="R12" s="147"/>
      <c r="S12" s="145" t="b">
        <f>required_cot&gt;=S$11</f>
        <v>1</v>
      </c>
      <c r="T12" s="145"/>
      <c r="U12" s="145" t="b">
        <f>required_cot&gt;=U$11</f>
        <v>1</v>
      </c>
      <c r="V12" s="145"/>
      <c r="W12" s="145" t="b">
        <f>required_cot&gt;=W$11</f>
        <v>1</v>
      </c>
      <c r="X12" s="145"/>
      <c r="Y12" s="145" t="b">
        <f>required_cot&gt;=Y$11</f>
        <v>1</v>
      </c>
      <c r="Z12" s="145"/>
      <c r="AA12" s="197"/>
      <c r="AB12" s="197"/>
      <c r="AC12" s="197"/>
      <c r="AD12" s="197"/>
      <c r="AE12" s="197"/>
      <c r="AF12" s="197"/>
      <c r="AG12" s="197"/>
      <c r="AI12" s="201" t="b">
        <v>1</v>
      </c>
      <c r="AJ12" s="201" t="b">
        <v>1</v>
      </c>
      <c r="AK12" s="201" t="b">
        <v>1</v>
      </c>
      <c r="AL12" s="201" t="b">
        <v>1</v>
      </c>
      <c r="AM12" s="201" t="b">
        <v>1</v>
      </c>
      <c r="AN12" s="201" t="b">
        <v>1</v>
      </c>
      <c r="AO12" s="201" t="b">
        <v>1</v>
      </c>
      <c r="AP12" s="201" t="b">
        <v>1</v>
      </c>
      <c r="AQ12" s="201" t="b">
        <v>1</v>
      </c>
      <c r="AR12" s="201" t="b">
        <v>1</v>
      </c>
      <c r="AS12" s="201" t="b">
        <v>1</v>
      </c>
      <c r="AT12" s="154" t="b">
        <v>1</v>
      </c>
      <c r="AU12" s="154" t="b">
        <v>1</v>
      </c>
      <c r="AV12" s="154" t="b">
        <v>1</v>
      </c>
      <c r="AW12" s="154" t="b">
        <v>1</v>
      </c>
      <c r="AX12" s="154" t="b">
        <v>1</v>
      </c>
      <c r="AY12" s="154" t="b">
        <v>1</v>
      </c>
      <c r="AZ12" s="154" t="b">
        <v>1</v>
      </c>
      <c r="BA12" s="154"/>
      <c r="BC12" s="77" t="s">
        <v>1042</v>
      </c>
    </row>
    <row r="13" spans="1:111" ht="23.45" hidden="1" customHeight="1" x14ac:dyDescent="0.25">
      <c r="A13" s="197"/>
      <c r="B13" s="197"/>
      <c r="C13" s="197"/>
      <c r="D13" s="197"/>
      <c r="E13" s="197"/>
      <c r="F13" s="197"/>
      <c r="G13" s="197"/>
      <c r="H13" s="197"/>
      <c r="I13" s="197"/>
      <c r="J13" s="197"/>
      <c r="K13" s="197"/>
      <c r="L13" s="197"/>
      <c r="M13" s="197"/>
      <c r="N13" s="197"/>
      <c r="O13" s="197"/>
      <c r="P13" s="206" t="s">
        <v>1043</v>
      </c>
      <c r="Q13" s="197"/>
      <c r="R13" s="147"/>
      <c r="S13" s="145" t="b">
        <f>S12</f>
        <v>1</v>
      </c>
      <c r="T13" s="145"/>
      <c r="U13" s="145" t="b">
        <f>U12</f>
        <v>1</v>
      </c>
      <c r="V13" s="145"/>
      <c r="W13" s="145" t="b">
        <f>W12</f>
        <v>1</v>
      </c>
      <c r="X13" s="145"/>
      <c r="Y13" s="145" t="b">
        <f>Y12</f>
        <v>1</v>
      </c>
      <c r="Z13" s="145"/>
      <c r="AA13" s="197"/>
      <c r="AB13" s="197"/>
      <c r="AC13" s="197"/>
      <c r="AD13" s="197"/>
      <c r="AE13" s="197"/>
      <c r="AF13" s="197"/>
      <c r="AG13" s="197"/>
      <c r="AI13" s="201" t="b">
        <v>1</v>
      </c>
      <c r="AJ13" s="201" t="b">
        <v>1</v>
      </c>
      <c r="AK13" s="201" t="b">
        <v>1</v>
      </c>
      <c r="AL13" s="201" t="b">
        <v>1</v>
      </c>
      <c r="AM13" s="201" t="b">
        <v>1</v>
      </c>
      <c r="AN13" s="201" t="b">
        <v>1</v>
      </c>
      <c r="AO13" s="201" t="b">
        <v>1</v>
      </c>
      <c r="AP13" s="201" t="b">
        <v>1</v>
      </c>
      <c r="AQ13" s="201" t="b">
        <v>1</v>
      </c>
      <c r="AR13" s="201" t="b">
        <v>1</v>
      </c>
      <c r="AS13" s="201" t="b">
        <v>1</v>
      </c>
      <c r="AT13" s="154" t="b">
        <v>1</v>
      </c>
      <c r="AU13" s="154" t="b">
        <v>1</v>
      </c>
      <c r="AV13" s="154" t="b">
        <v>1</v>
      </c>
      <c r="AW13" s="154" t="b">
        <v>1</v>
      </c>
      <c r="AX13" s="154" t="b">
        <v>1</v>
      </c>
      <c r="AY13" s="154" t="b">
        <v>1</v>
      </c>
      <c r="AZ13" s="154" t="b">
        <v>1</v>
      </c>
      <c r="BA13" s="154"/>
      <c r="BC13" s="444" t="b">
        <v>0</v>
      </c>
    </row>
    <row r="14" spans="1:111" ht="23.45" hidden="1" customHeight="1" x14ac:dyDescent="0.25">
      <c r="A14" s="197"/>
      <c r="B14" s="197"/>
      <c r="C14" s="197"/>
      <c r="D14" s="197"/>
      <c r="E14" s="197"/>
      <c r="F14" s="197"/>
      <c r="G14" s="197"/>
      <c r="H14" s="197"/>
      <c r="I14" s="197"/>
      <c r="J14" s="197"/>
      <c r="K14" s="197"/>
      <c r="L14" s="197"/>
      <c r="M14" s="197"/>
      <c r="N14" s="197"/>
      <c r="O14" s="197"/>
      <c r="P14" s="206" t="s">
        <v>1044</v>
      </c>
      <c r="Q14" s="197"/>
      <c r="R14" s="147"/>
      <c r="S14" s="145" t="b">
        <f>AND(S$12,S$13,NOT(ISBLANK(S$20)),NOT(LOWER(TRIM(S$20))="no classroom observation"))</f>
        <v>1</v>
      </c>
      <c r="T14" s="145"/>
      <c r="U14" s="145" t="b">
        <f>AND(U$12,U$13,NOT(ISBLANK(U$20)),NOT(LOWER(TRIM(U$20))="no classroom observation"))</f>
        <v>1</v>
      </c>
      <c r="V14" s="145"/>
      <c r="W14" s="145" t="b">
        <f>AND(W$12,W$13,NOT(ISBLANK(W$20)),NOT(LOWER(TRIM(W$20))="no classroom observation"))</f>
        <v>1</v>
      </c>
      <c r="X14" s="145"/>
      <c r="Y14" s="145" t="b">
        <f>AND(Y$12,Y$13,NOT(ISBLANK(Y$20)),NOT(LOWER(TRIM(Y$20))="no classroom observation"))</f>
        <v>1</v>
      </c>
      <c r="Z14" s="145"/>
      <c r="AA14" s="197"/>
      <c r="AB14" s="197"/>
      <c r="AC14" s="197"/>
      <c r="AD14" s="197"/>
      <c r="AE14" s="197"/>
      <c r="AF14" s="197"/>
      <c r="AG14" s="197"/>
      <c r="AI14" s="201" t="b">
        <v>1</v>
      </c>
      <c r="AJ14" s="201" t="b">
        <v>1</v>
      </c>
      <c r="AK14" s="201" t="b">
        <v>1</v>
      </c>
      <c r="AL14" s="201" t="b">
        <v>1</v>
      </c>
      <c r="AM14" s="201" t="b">
        <v>1</v>
      </c>
      <c r="AN14" s="201" t="b">
        <v>1</v>
      </c>
      <c r="AO14" s="201" t="b">
        <v>1</v>
      </c>
      <c r="AP14" s="201" t="b">
        <v>1</v>
      </c>
      <c r="AQ14" s="201" t="b">
        <v>1</v>
      </c>
      <c r="AR14" s="201" t="b">
        <v>1</v>
      </c>
      <c r="AS14" s="201" t="b">
        <v>1</v>
      </c>
      <c r="AT14" s="154" t="b">
        <v>1</v>
      </c>
      <c r="AU14" s="154" t="b">
        <v>1</v>
      </c>
      <c r="AV14" s="154" t="b">
        <v>1</v>
      </c>
      <c r="AW14" s="154" t="b">
        <v>1</v>
      </c>
      <c r="AX14" s="154" t="b">
        <v>1</v>
      </c>
      <c r="AY14" s="154" t="b">
        <v>1</v>
      </c>
      <c r="AZ14" s="154" t="b">
        <v>1</v>
      </c>
      <c r="BA14" s="154"/>
      <c r="BC14" s="77" t="s">
        <v>1045</v>
      </c>
    </row>
    <row r="15" spans="1:111" ht="23.45" hidden="1" customHeight="1" x14ac:dyDescent="0.25">
      <c r="A15" s="197"/>
      <c r="B15" s="197"/>
      <c r="C15" s="197"/>
      <c r="D15" s="197"/>
      <c r="E15" s="197"/>
      <c r="F15" s="197"/>
      <c r="G15" s="197"/>
      <c r="H15" s="197"/>
      <c r="I15" s="197"/>
      <c r="J15" s="197"/>
      <c r="K15" s="197"/>
      <c r="L15" s="197"/>
      <c r="M15" s="197"/>
      <c r="N15" s="197"/>
      <c r="O15" s="197"/>
      <c r="P15" s="206" t="s">
        <v>1046</v>
      </c>
      <c r="Q15" s="197"/>
      <c r="R15" s="147"/>
      <c r="S15" s="145">
        <f>IF(S$12,COUNTIF($BG$22:$BG$62,TRUE),0)</f>
        <v>6</v>
      </c>
      <c r="T15" s="145"/>
      <c r="U15" s="145">
        <f>IF(U$12,COUNTIF($BI$22:$BI$62,TRUE),0)</f>
        <v>6</v>
      </c>
      <c r="V15" s="145"/>
      <c r="W15" s="145">
        <f>IF(W$12,COUNTIFS($BK$22:$BK$62,TRUE),0)</f>
        <v>6</v>
      </c>
      <c r="X15" s="145"/>
      <c r="Y15" s="145">
        <f>IF(Y$12,COUNTIFS($BM$22:$BM$62,TRUE),0)</f>
        <v>6</v>
      </c>
      <c r="Z15" s="145"/>
      <c r="AA15" s="197"/>
      <c r="AB15" s="197"/>
      <c r="AC15" s="197"/>
      <c r="AD15" s="197"/>
      <c r="AE15" s="197"/>
      <c r="AF15" s="197"/>
      <c r="AG15" s="197"/>
      <c r="AI15" s="201" t="b">
        <v>1</v>
      </c>
      <c r="AJ15" s="201" t="b">
        <v>1</v>
      </c>
      <c r="AK15" s="201" t="b">
        <v>1</v>
      </c>
      <c r="AL15" s="201" t="b">
        <v>1</v>
      </c>
      <c r="AM15" s="201" t="b">
        <v>1</v>
      </c>
      <c r="AN15" s="201" t="b">
        <v>1</v>
      </c>
      <c r="AO15" s="201" t="b">
        <v>1</v>
      </c>
      <c r="AP15" s="201" t="b">
        <v>1</v>
      </c>
      <c r="AQ15" s="201" t="b">
        <v>1</v>
      </c>
      <c r="AR15" s="201" t="b">
        <v>1</v>
      </c>
      <c r="AS15" s="201" t="b">
        <v>1</v>
      </c>
      <c r="AT15" s="154" t="b">
        <v>1</v>
      </c>
      <c r="AU15" s="154" t="b">
        <v>1</v>
      </c>
      <c r="AV15" s="154" t="b">
        <v>1</v>
      </c>
      <c r="AW15" s="154" t="b">
        <v>1</v>
      </c>
      <c r="AX15" s="154" t="b">
        <v>1</v>
      </c>
      <c r="AY15" s="154" t="b">
        <v>1</v>
      </c>
      <c r="AZ15" s="154" t="b">
        <v>1</v>
      </c>
      <c r="BA15" s="154"/>
      <c r="BB15" s="47" t="str" cm="1">
        <f t="array" aca="1" ref="BB15" ca="1">CELL("address",S20)</f>
        <v>$S$20</v>
      </c>
      <c r="BC15" s="47" t="b">
        <f ca="1">IFERROR(IF(BE15=FALSE,FALSE,BE15&gt;0),FALSE)</f>
        <v>1</v>
      </c>
      <c r="BD15" s="47" t="str">
        <f>IF(level_taught="Senior High School","strands_list","cotsubjects_list")</f>
        <v>cotsubjects_list</v>
      </c>
      <c r="BE15" s="47">
        <f t="array" aca="1" ref="BE15" ca="1">IFERROR(MATCH(TRUE,EXACT(INDIRECT(BB15),INDIRECT(BD15)),0),EXACT(INDIRECT(BB15),INDIRECT(BD15)))</f>
        <v>3</v>
      </c>
    </row>
    <row r="16" spans="1:111" ht="23.45" hidden="1" customHeight="1" x14ac:dyDescent="0.25">
      <c r="A16" s="197"/>
      <c r="B16" s="197"/>
      <c r="C16" s="197"/>
      <c r="D16" s="197"/>
      <c r="E16" s="197"/>
      <c r="F16" s="197"/>
      <c r="G16" s="197"/>
      <c r="H16" s="197"/>
      <c r="I16" s="197"/>
      <c r="J16" s="197"/>
      <c r="K16" s="197"/>
      <c r="L16" s="197"/>
      <c r="M16" s="197"/>
      <c r="N16" s="197"/>
      <c r="O16" s="197"/>
      <c r="P16" s="206" t="s">
        <v>1047</v>
      </c>
      <c r="Q16" s="197"/>
      <c r="R16" s="147"/>
      <c r="S16" s="145">
        <f>COUNT(S$22:S$59)</f>
        <v>6</v>
      </c>
      <c r="T16" s="145"/>
      <c r="U16" s="145">
        <f>COUNT(U$22:U$59)</f>
        <v>6</v>
      </c>
      <c r="V16" s="145"/>
      <c r="W16" s="145">
        <f>COUNT(W$22:W$59)</f>
        <v>6</v>
      </c>
      <c r="X16" s="145"/>
      <c r="Y16" s="145">
        <f>COUNT(Y$22:Y$59)</f>
        <v>6</v>
      </c>
      <c r="Z16" s="145" t="s">
        <v>1048</v>
      </c>
      <c r="AA16" s="145" t="s">
        <v>1049</v>
      </c>
      <c r="AB16" s="145" t="s">
        <v>881</v>
      </c>
      <c r="AC16" s="445" t="s">
        <v>1050</v>
      </c>
      <c r="AD16" s="445" t="s">
        <v>1051</v>
      </c>
      <c r="AE16" s="197"/>
      <c r="AF16" s="197"/>
      <c r="AG16" s="197"/>
      <c r="AI16" s="201" t="b">
        <v>1</v>
      </c>
      <c r="AJ16" s="201" t="b">
        <v>1</v>
      </c>
      <c r="AK16" s="201" t="b">
        <v>1</v>
      </c>
      <c r="AL16" s="201" t="b">
        <v>1</v>
      </c>
      <c r="AM16" s="201" t="b">
        <v>1</v>
      </c>
      <c r="AN16" s="201" t="b">
        <v>1</v>
      </c>
      <c r="AO16" s="201" t="b">
        <v>1</v>
      </c>
      <c r="AP16" s="201" t="b">
        <v>1</v>
      </c>
      <c r="AQ16" s="201" t="b">
        <v>1</v>
      </c>
      <c r="AR16" s="201" t="b">
        <v>1</v>
      </c>
      <c r="AS16" s="201" t="b">
        <v>1</v>
      </c>
      <c r="AT16" s="154" t="b">
        <v>1</v>
      </c>
      <c r="AU16" s="154" t="b">
        <v>1</v>
      </c>
      <c r="AV16" s="154" t="b">
        <v>1</v>
      </c>
      <c r="AW16" s="154" t="b">
        <v>1</v>
      </c>
      <c r="AX16" s="154" t="b">
        <v>1</v>
      </c>
      <c r="AY16" s="154" t="b">
        <v>1</v>
      </c>
      <c r="AZ16" s="154" t="b">
        <v>1</v>
      </c>
      <c r="BA16" s="154"/>
      <c r="BB16" s="47" t="str" cm="1">
        <f t="array" aca="1" ref="BB16" ca="1">CELL("address",U20)</f>
        <v>$U$20</v>
      </c>
      <c r="BC16" s="47" t="b">
        <f t="shared" ref="BC16:BC18" ca="1" si="1">IFERROR(IF(BE16=FALSE,FALSE,BE16&gt;0),FALSE)</f>
        <v>1</v>
      </c>
      <c r="BD16" s="47" t="str">
        <f>IF(level_taught="Senior High School","strands_list","cotsubjects_list")</f>
        <v>cotsubjects_list</v>
      </c>
      <c r="BE16" s="47">
        <f t="array" aca="1" ref="BE16" ca="1">IFERROR(MATCH(TRUE,EXACT(INDIRECT(BB16),INDIRECT(BD16)),0),EXACT(INDIRECT(BB16),INDIRECT(BD16)))</f>
        <v>3</v>
      </c>
    </row>
    <row r="17" spans="1:116" ht="23.45" hidden="1" customHeight="1" x14ac:dyDescent="0.25">
      <c r="A17" s="197"/>
      <c r="B17" s="197"/>
      <c r="C17" s="197"/>
      <c r="D17" s="197"/>
      <c r="E17" s="197"/>
      <c r="F17" s="197"/>
      <c r="G17" s="197"/>
      <c r="H17" s="197"/>
      <c r="I17" s="197"/>
      <c r="J17" s="197"/>
      <c r="K17" s="197"/>
      <c r="L17" s="197"/>
      <c r="M17" s="197"/>
      <c r="N17" s="197"/>
      <c r="O17" s="197"/>
      <c r="P17" s="206" t="s">
        <v>1052</v>
      </c>
      <c r="Q17" s="147"/>
      <c r="R17" s="147"/>
      <c r="S17" s="145" t="b">
        <f>OR(LOWER(TRIM(S$20))=LOWER(TRIM(data2!$U$35)),LOWER(TRIM(S$20))=LOWER(TRIM(data2!$U$36)))</f>
        <v>0</v>
      </c>
      <c r="T17" s="145"/>
      <c r="U17" s="145" t="b">
        <f>OR(LOWER(TRIM(U$20))=LOWER(TRIM(data2!$U$35)),LOWER(TRIM(U$20))=LOWER(TRIM(data2!$U$36)))</f>
        <v>0</v>
      </c>
      <c r="V17" s="145"/>
      <c r="W17" s="145" t="b">
        <f>OR(LOWER(TRIM(W$20))=LOWER(TRIM(data2!$U$35)),LOWER(TRIM(W$20))=LOWER(TRIM(data2!$U$36)))</f>
        <v>0</v>
      </c>
      <c r="X17" s="145"/>
      <c r="Y17" s="145" t="b">
        <f>OR(LOWER(TRIM(Y$20))=LOWER(TRIM(data2!$U$35)),LOWER(TRIM(Y$20))=LOWER(TRIM(data2!$U$36)))</f>
        <v>0</v>
      </c>
      <c r="Z17" s="145">
        <f>required_cot</f>
        <v>4</v>
      </c>
      <c r="AA17" s="145" t="b">
        <f>OR(AND(S17,S12),AND(U17,U12),AND(W17,W12),AND(Y17,Y12))</f>
        <v>0</v>
      </c>
      <c r="AB17" s="145" t="b">
        <f>NOT(OR(LOWER(TRIM(S$20))=LOWER(TRIM(data2!$U$36)),LOWER(TRIM(U$20))=LOWER(TRIM(data2!$U$36)),LOWER(TRIM(W$20))=LOWER(TRIM(data2!$U$36)),LOWER(TRIM(Y$20))=LOWER(TRIM(data2!$U$36))))</f>
        <v>1</v>
      </c>
      <c r="AC17" s="145">
        <f>COUNTIF(encoding_COT_subjects,TRIM(data2!$U$35))</f>
        <v>0</v>
      </c>
      <c r="AD17" s="197">
        <f>COUNTIF(encoding_COT_subjects,TRIM(data2!$U$36))</f>
        <v>0</v>
      </c>
      <c r="AE17" s="197"/>
      <c r="AF17" s="197"/>
      <c r="AG17" s="197"/>
      <c r="AI17" s="201" t="b">
        <v>1</v>
      </c>
      <c r="AJ17" s="201" t="b">
        <v>1</v>
      </c>
      <c r="AK17" s="201" t="b">
        <v>1</v>
      </c>
      <c r="AL17" s="201" t="b">
        <v>1</v>
      </c>
      <c r="AM17" s="201" t="b">
        <v>1</v>
      </c>
      <c r="AN17" s="201" t="b">
        <v>1</v>
      </c>
      <c r="AO17" s="201" t="b">
        <v>1</v>
      </c>
      <c r="AP17" s="201" t="b">
        <v>1</v>
      </c>
      <c r="AQ17" s="201" t="b">
        <v>1</v>
      </c>
      <c r="AR17" s="201" t="b">
        <v>1</v>
      </c>
      <c r="AS17" s="201" t="b">
        <v>1</v>
      </c>
      <c r="AT17" s="154" t="b">
        <v>1</v>
      </c>
      <c r="AU17" s="154" t="b">
        <v>1</v>
      </c>
      <c r="AV17" s="154" t="b">
        <v>1</v>
      </c>
      <c r="AW17" s="154" t="b">
        <v>1</v>
      </c>
      <c r="AX17" s="154" t="b">
        <v>1</v>
      </c>
      <c r="AY17" s="154" t="b">
        <v>1</v>
      </c>
      <c r="AZ17" s="154" t="b">
        <v>1</v>
      </c>
      <c r="BA17" s="154"/>
      <c r="BB17" s="47" t="str" cm="1">
        <f t="array" aca="1" ref="BB17" ca="1">CELL("address",W20)</f>
        <v>$W$20</v>
      </c>
      <c r="BC17" s="47" t="b">
        <f t="shared" ca="1" si="1"/>
        <v>1</v>
      </c>
      <c r="BD17" s="47" t="str">
        <f>IF(level_taught="Senior High School","strands_list","cotsubjects_list")</f>
        <v>cotsubjects_list</v>
      </c>
      <c r="BE17" s="47">
        <f t="array" aca="1" ref="BE17" ca="1">IFERROR(MATCH(TRUE,EXACT(INDIRECT(BB17),INDIRECT(BD17)),0),EXACT(INDIRECT(BB17),INDIRECT(BD17)))</f>
        <v>3</v>
      </c>
    </row>
    <row r="18" spans="1:116" ht="23.45" hidden="1" customHeight="1" thickBot="1" x14ac:dyDescent="0.3">
      <c r="A18" s="197"/>
      <c r="B18" s="197"/>
      <c r="C18" s="197"/>
      <c r="D18" s="197"/>
      <c r="E18" s="197"/>
      <c r="F18" s="197"/>
      <c r="G18" s="197"/>
      <c r="H18" s="197"/>
      <c r="I18" s="197"/>
      <c r="J18" s="197"/>
      <c r="K18" s="197"/>
      <c r="L18" s="197"/>
      <c r="M18" s="197"/>
      <c r="N18" s="197"/>
      <c r="O18" s="197"/>
      <c r="P18" s="206" t="s">
        <v>1053</v>
      </c>
      <c r="Q18" s="197"/>
      <c r="R18" s="147">
        <v>1</v>
      </c>
      <c r="S18" s="145" t="b">
        <f>OR(OR(LOWER(TRIM(S$20))=LOWER(TRIM(data2!$U$35)),LOWER(TRIM(S$20))=LOWER(TRIM(data2!$U$36))),S$17,AND(S$15&lt;=S$16,NOT(ISBLANK(S$63)),NOT(ISBLANK(S$20)),AND(AL$22:AL$62)),AND(S$15=0,S$16=0))</f>
        <v>1</v>
      </c>
      <c r="T18" s="145">
        <v>2</v>
      </c>
      <c r="U18" s="145" t="b">
        <f>OR(OR(LOWER(TRIM(U$20))=LOWER(TRIM(data2!$U$35)),LOWER(TRIM(U$20))=LOWER(TRIM(data2!$U$36))),U$17,AND(U$15&lt;=U$16,NOT(ISBLANK(U$63)),NOT(ISBLANK(U$20)),AND(AN$22:AN$62)),AND(U$15=0,U$16=0))</f>
        <v>1</v>
      </c>
      <c r="V18" s="145">
        <v>3</v>
      </c>
      <c r="W18" s="145" t="b">
        <f>OR(OR(LOWER(TRIM(W$20))=LOWER(TRIM(data2!$U$35)),LOWER(TRIM(W$20))=LOWER(TRIM(data2!$U$36))),W$17,AND(W$15&lt;=W$16,NOT(ISBLANK(W$63)),NOT(ISBLANK(W$20)),AND(AP$22:AP$62)),AND(W$15=0,W$16=0))</f>
        <v>1</v>
      </c>
      <c r="X18" s="145">
        <v>4</v>
      </c>
      <c r="Y18" s="145" t="b">
        <f>OR(OR(LOWER(TRIM(Y$20))=LOWER(TRIM(data2!$U$35)),LOWER(TRIM(Y$20))=LOWER(TRIM(data2!$U$36))),Y$17,AND(Y$15&lt;=Y$16,NOT(ISBLANK(Y$63)),NOT(ISBLANK(Y$20)),AND(AR$22:AR$62)),AND(Y$15=0,Y$16=0))</f>
        <v>1</v>
      </c>
      <c r="Z18" s="145"/>
      <c r="AA18" s="197"/>
      <c r="AB18" s="197"/>
      <c r="AC18" s="197"/>
      <c r="AD18" s="197"/>
      <c r="AE18" s="197"/>
      <c r="AF18" s="197"/>
      <c r="AG18" s="197"/>
      <c r="AI18" s="201" t="b">
        <v>1</v>
      </c>
      <c r="AJ18" s="201" t="b">
        <v>1</v>
      </c>
      <c r="AK18" s="201" t="b">
        <v>1</v>
      </c>
      <c r="AL18" s="201" t="b">
        <v>1</v>
      </c>
      <c r="AM18" s="201" t="b">
        <v>1</v>
      </c>
      <c r="AN18" s="201" t="b">
        <v>1</v>
      </c>
      <c r="AO18" s="201" t="b">
        <v>1</v>
      </c>
      <c r="AP18" s="201" t="b">
        <v>1</v>
      </c>
      <c r="AQ18" s="201" t="b">
        <v>1</v>
      </c>
      <c r="AR18" s="201" t="b">
        <v>1</v>
      </c>
      <c r="AS18" s="201" t="b">
        <v>1</v>
      </c>
      <c r="AT18" s="154" t="b">
        <v>1</v>
      </c>
      <c r="AU18" s="154" t="b">
        <v>1</v>
      </c>
      <c r="AV18" s="154" t="b">
        <v>1</v>
      </c>
      <c r="AW18" s="154" t="b">
        <v>1</v>
      </c>
      <c r="AX18" s="154" t="b">
        <v>1</v>
      </c>
      <c r="AY18" s="154" t="b">
        <v>1</v>
      </c>
      <c r="AZ18" s="154" t="b">
        <v>1</v>
      </c>
      <c r="BA18" s="154"/>
      <c r="BB18" s="47" t="str" cm="1">
        <f t="array" aca="1" ref="BB18" ca="1">CELL("address",Y20)</f>
        <v>$Y$20</v>
      </c>
      <c r="BC18" s="47" t="b">
        <f t="shared" ca="1" si="1"/>
        <v>1</v>
      </c>
      <c r="BD18" s="47" t="str">
        <f>IF(level_taught="Senior High School","strands_list","cotsubjects_list")</f>
        <v>cotsubjects_list</v>
      </c>
      <c r="BE18" s="47">
        <f t="array" aca="1" ref="BE18" ca="1">IFERROR(MATCH(TRUE,EXACT(INDIRECT(BB18),INDIRECT(BD18)),0),EXACT(INDIRECT(BB18),INDIRECT(BD18)))</f>
        <v>3</v>
      </c>
    </row>
    <row r="19" spans="1:116" ht="18.95" customHeight="1" x14ac:dyDescent="0.25">
      <c r="M19" s="642" t="s">
        <v>918</v>
      </c>
      <c r="N19" s="623" t="s">
        <v>1054</v>
      </c>
      <c r="O19" s="645" t="s">
        <v>1055</v>
      </c>
      <c r="P19" s="607" t="s">
        <v>1056</v>
      </c>
      <c r="Q19" s="648" t="s">
        <v>1057</v>
      </c>
      <c r="R19" s="523" t="s">
        <v>1058</v>
      </c>
      <c r="S19" s="605" t="s">
        <v>890</v>
      </c>
      <c r="T19" s="606"/>
      <c r="U19" s="605" t="s">
        <v>891</v>
      </c>
      <c r="V19" s="606"/>
      <c r="W19" s="605" t="s">
        <v>892</v>
      </c>
      <c r="X19" s="606"/>
      <c r="Y19" s="605" t="s">
        <v>893</v>
      </c>
      <c r="Z19" s="606"/>
      <c r="AA19" s="523" t="s">
        <v>1059</v>
      </c>
      <c r="AB19" s="617" t="s">
        <v>1060</v>
      </c>
      <c r="AC19" s="618"/>
      <c r="AD19" s="618"/>
      <c r="AE19" s="619"/>
      <c r="AF19" s="639" t="s">
        <v>1061</v>
      </c>
      <c r="AG19" s="610" t="s">
        <v>1062</v>
      </c>
      <c r="AI19" s="47" t="b">
        <v>1</v>
      </c>
      <c r="AJ19" s="47" t="b">
        <v>1</v>
      </c>
      <c r="AK19" s="47" t="b">
        <v>1</v>
      </c>
      <c r="AL19" s="47" t="b">
        <v>1</v>
      </c>
      <c r="AM19" s="47" t="b">
        <v>1</v>
      </c>
      <c r="AN19" s="47" t="b">
        <v>1</v>
      </c>
      <c r="AO19" s="47" t="b">
        <v>1</v>
      </c>
      <c r="AP19" s="47" t="b">
        <v>1</v>
      </c>
      <c r="AQ19" s="47" t="b">
        <v>1</v>
      </c>
      <c r="AR19" s="47" t="b">
        <v>1</v>
      </c>
      <c r="AS19" s="47" t="b">
        <v>1</v>
      </c>
      <c r="AT19" s="47" t="b">
        <v>1</v>
      </c>
      <c r="AU19" s="47" t="b">
        <v>1</v>
      </c>
      <c r="AV19" s="47" t="b">
        <v>1</v>
      </c>
      <c r="AW19" s="47" t="b">
        <v>1</v>
      </c>
      <c r="AX19" s="47" t="b">
        <v>1</v>
      </c>
      <c r="AY19" s="47" t="b">
        <v>1</v>
      </c>
      <c r="AZ19" s="47" t="b">
        <v>1</v>
      </c>
      <c r="BA19" s="154"/>
      <c r="CD19" s="149" t="s">
        <v>1063</v>
      </c>
      <c r="CE19" s="47">
        <v>1</v>
      </c>
      <c r="CF19" s="47">
        <v>2</v>
      </c>
      <c r="CG19" s="47">
        <v>3</v>
      </c>
      <c r="CH19" s="47">
        <v>4</v>
      </c>
      <c r="CI19" s="47">
        <v>5</v>
      </c>
      <c r="CJ19" s="149" t="s">
        <v>1063</v>
      </c>
      <c r="CK19" s="47">
        <v>1</v>
      </c>
      <c r="CL19" s="47">
        <v>2</v>
      </c>
      <c r="CM19" s="47">
        <v>3</v>
      </c>
      <c r="CN19" s="47">
        <v>4</v>
      </c>
      <c r="CO19" s="47">
        <v>5</v>
      </c>
      <c r="CP19" s="149" t="s">
        <v>1063</v>
      </c>
      <c r="CQ19" s="47">
        <v>1</v>
      </c>
      <c r="CR19" s="47">
        <v>2</v>
      </c>
      <c r="CS19" s="47">
        <v>3</v>
      </c>
      <c r="CT19" s="47">
        <v>4</v>
      </c>
      <c r="CU19" s="47">
        <v>5</v>
      </c>
    </row>
    <row r="20" spans="1:116" ht="27" customHeight="1" x14ac:dyDescent="0.25">
      <c r="M20" s="643"/>
      <c r="N20" s="624"/>
      <c r="O20" s="646"/>
      <c r="P20" s="608"/>
      <c r="Q20" s="649"/>
      <c r="R20" s="557"/>
      <c r="S20" s="613" t="s">
        <v>742</v>
      </c>
      <c r="T20" s="614"/>
      <c r="U20" s="613" t="s">
        <v>742</v>
      </c>
      <c r="V20" s="614"/>
      <c r="W20" s="613" t="s">
        <v>742</v>
      </c>
      <c r="X20" s="614"/>
      <c r="Y20" s="613" t="s">
        <v>742</v>
      </c>
      <c r="Z20" s="614"/>
      <c r="AA20" s="557"/>
      <c r="AB20" s="620"/>
      <c r="AC20" s="621"/>
      <c r="AD20" s="621"/>
      <c r="AE20" s="622"/>
      <c r="AF20" s="640"/>
      <c r="AG20" s="611"/>
      <c r="AI20" s="47" t="b">
        <v>1</v>
      </c>
      <c r="AJ20" s="47" t="b">
        <v>1</v>
      </c>
      <c r="AK20" s="47" t="b">
        <v>1</v>
      </c>
      <c r="AL20" s="140" t="b">
        <f ca="1">OR(NOT(S13),AND(NOT(ISBLANK(S20)),$BC$15))</f>
        <v>1</v>
      </c>
      <c r="AM20" s="140" t="b">
        <f ca="1">AL20</f>
        <v>1</v>
      </c>
      <c r="AN20" s="140" t="b">
        <f ca="1">OR(NOT(U13),AND(NOT(ISBLANK(U20)),$BC$16))</f>
        <v>1</v>
      </c>
      <c r="AO20" s="140" t="b">
        <f ca="1">AN20</f>
        <v>1</v>
      </c>
      <c r="AP20" s="140" t="b">
        <f ca="1">OR(NOT(W13),AND(NOT(ISBLANK(W20)),$BC$17))</f>
        <v>1</v>
      </c>
      <c r="AQ20" s="140" t="b">
        <f ca="1">AP20</f>
        <v>1</v>
      </c>
      <c r="AR20" s="140" t="b">
        <f ca="1">OR(NOT(Y13),AND(NOT(ISBLANK(Y20)),$BC$18))</f>
        <v>1</v>
      </c>
      <c r="AS20" s="140" t="b">
        <f ca="1">AR20</f>
        <v>1</v>
      </c>
      <c r="AT20" s="47" t="b">
        <v>1</v>
      </c>
      <c r="AU20" s="47" t="b">
        <v>1</v>
      </c>
      <c r="AV20" s="47" t="b">
        <v>1</v>
      </c>
      <c r="AW20" s="47" t="b">
        <v>1</v>
      </c>
      <c r="AX20" s="47" t="b">
        <v>1</v>
      </c>
      <c r="AY20" s="47" t="b">
        <v>1</v>
      </c>
      <c r="AZ20" s="47" t="b">
        <v>1</v>
      </c>
      <c r="BA20" s="154"/>
      <c r="BG20" s="77" t="s">
        <v>1064</v>
      </c>
      <c r="BH20" s="77"/>
      <c r="BP20" s="77" t="s">
        <v>1065</v>
      </c>
      <c r="CD20" s="149" t="s">
        <v>1066</v>
      </c>
      <c r="CE20" s="47">
        <v>5</v>
      </c>
      <c r="CF20" s="47">
        <v>4</v>
      </c>
      <c r="CG20" s="47">
        <v>3</v>
      </c>
      <c r="CH20" s="47">
        <v>2</v>
      </c>
      <c r="CI20" s="47">
        <v>1</v>
      </c>
      <c r="CJ20" s="149" t="s">
        <v>1066</v>
      </c>
      <c r="CK20" s="47">
        <v>5</v>
      </c>
      <c r="CL20" s="47">
        <v>4</v>
      </c>
      <c r="CM20" s="47">
        <v>3</v>
      </c>
      <c r="CN20" s="47">
        <v>2</v>
      </c>
      <c r="CO20" s="47">
        <v>1</v>
      </c>
      <c r="CP20" s="149" t="s">
        <v>1066</v>
      </c>
      <c r="CQ20" s="47">
        <v>5</v>
      </c>
      <c r="CR20" s="47">
        <v>4</v>
      </c>
      <c r="CS20" s="47">
        <v>3</v>
      </c>
      <c r="CT20" s="47">
        <v>2</v>
      </c>
      <c r="CU20" s="47">
        <v>1</v>
      </c>
      <c r="CY20" s="148" t="s">
        <v>1067</v>
      </c>
    </row>
    <row r="21" spans="1:116" ht="30" customHeight="1" thickBot="1" x14ac:dyDescent="0.3">
      <c r="A21" s="214"/>
      <c r="B21" s="207" t="s">
        <v>914</v>
      </c>
      <c r="C21" s="208" t="s">
        <v>1068</v>
      </c>
      <c r="D21" s="209" t="s">
        <v>1069</v>
      </c>
      <c r="E21" s="209" t="s">
        <v>916</v>
      </c>
      <c r="F21" s="210" t="s">
        <v>1070</v>
      </c>
      <c r="G21" s="211" t="s">
        <v>1071</v>
      </c>
      <c r="H21" s="62" t="s">
        <v>1012</v>
      </c>
      <c r="I21" s="62" t="s">
        <v>1072</v>
      </c>
      <c r="J21" s="62" t="s">
        <v>1073</v>
      </c>
      <c r="K21" s="62" t="s">
        <v>1014</v>
      </c>
      <c r="L21" s="214" t="s">
        <v>1074</v>
      </c>
      <c r="M21" s="644"/>
      <c r="N21" s="625"/>
      <c r="O21" s="647"/>
      <c r="P21" s="609"/>
      <c r="Q21" s="650"/>
      <c r="R21" s="557"/>
      <c r="S21" s="151" t="s">
        <v>1075</v>
      </c>
      <c r="T21" s="408" t="s">
        <v>1076</v>
      </c>
      <c r="U21" s="151" t="s">
        <v>1075</v>
      </c>
      <c r="V21" s="152" t="s">
        <v>1076</v>
      </c>
      <c r="W21" s="151" t="s">
        <v>1075</v>
      </c>
      <c r="X21" s="152" t="s">
        <v>1076</v>
      </c>
      <c r="Y21" s="151" t="s">
        <v>1075</v>
      </c>
      <c r="Z21" s="152" t="s">
        <v>1076</v>
      </c>
      <c r="AA21" s="557"/>
      <c r="AB21" s="153" t="s">
        <v>1012</v>
      </c>
      <c r="AC21" s="200" t="s">
        <v>1073</v>
      </c>
      <c r="AD21" s="200" t="s">
        <v>1014</v>
      </c>
      <c r="AE21" s="200" t="s">
        <v>1059</v>
      </c>
      <c r="AF21" s="641"/>
      <c r="AG21" s="612"/>
      <c r="AI21" s="47" t="b">
        <v>1</v>
      </c>
      <c r="AJ21" s="47" t="b">
        <v>1</v>
      </c>
      <c r="AK21" s="47" t="b">
        <v>1</v>
      </c>
      <c r="AL21" s="47" t="b">
        <v>1</v>
      </c>
      <c r="AM21" s="47" t="b">
        <v>1</v>
      </c>
      <c r="AN21" s="47" t="b">
        <v>1</v>
      </c>
      <c r="AO21" s="47" t="b">
        <v>1</v>
      </c>
      <c r="AP21" s="47" t="b">
        <v>1</v>
      </c>
      <c r="AQ21" s="47" t="b">
        <v>1</v>
      </c>
      <c r="AR21" s="47" t="b">
        <v>1</v>
      </c>
      <c r="AS21" s="47" t="b">
        <v>1</v>
      </c>
      <c r="AT21" s="47" t="b">
        <v>1</v>
      </c>
      <c r="AU21" s="47" t="b">
        <v>1</v>
      </c>
      <c r="AV21" s="47" t="b">
        <v>1</v>
      </c>
      <c r="AW21" s="47" t="b">
        <v>1</v>
      </c>
      <c r="AX21" s="47" t="b">
        <v>1</v>
      </c>
      <c r="AY21" s="47" t="b">
        <v>1</v>
      </c>
      <c r="AZ21" s="47" t="b">
        <v>1</v>
      </c>
      <c r="BA21" s="154"/>
      <c r="BB21" s="77"/>
      <c r="BC21" s="77"/>
      <c r="BD21" s="77"/>
      <c r="BG21" s="112" t="s">
        <v>1077</v>
      </c>
      <c r="BH21" s="112"/>
      <c r="BI21" s="112" t="s">
        <v>1078</v>
      </c>
      <c r="BJ21" s="112"/>
      <c r="BK21" s="112" t="s">
        <v>1079</v>
      </c>
      <c r="BL21" s="112"/>
      <c r="BM21" s="112" t="s">
        <v>1080</v>
      </c>
      <c r="BP21" s="47" t="s">
        <v>1077</v>
      </c>
      <c r="BR21" s="47" t="s">
        <v>1078</v>
      </c>
      <c r="BT21" s="47" t="s">
        <v>1079</v>
      </c>
      <c r="BV21" s="47" t="s">
        <v>1080</v>
      </c>
      <c r="BY21" s="77" t="s">
        <v>1012</v>
      </c>
      <c r="BZ21" s="77" t="s">
        <v>1073</v>
      </c>
      <c r="CA21" s="77" t="s">
        <v>1014</v>
      </c>
      <c r="CB21" s="112" t="s">
        <v>1012</v>
      </c>
      <c r="CC21" s="112" t="s">
        <v>1073</v>
      </c>
      <c r="CD21" s="112" t="s">
        <v>1014</v>
      </c>
      <c r="CE21" s="207" t="s">
        <v>1012</v>
      </c>
      <c r="CK21" s="207" t="s">
        <v>1073</v>
      </c>
      <c r="CQ21" s="207" t="s">
        <v>1014</v>
      </c>
      <c r="CY21" s="112" t="s">
        <v>1077</v>
      </c>
      <c r="DA21" s="112" t="s">
        <v>1078</v>
      </c>
      <c r="DC21" s="112" t="s">
        <v>1079</v>
      </c>
      <c r="DE21" s="112" t="s">
        <v>1080</v>
      </c>
      <c r="DG21" s="446" t="s">
        <v>1081</v>
      </c>
      <c r="DH21" s="65" t="s">
        <v>1082</v>
      </c>
      <c r="DJ21" s="47" t="s">
        <v>1083</v>
      </c>
    </row>
    <row r="22" spans="1:116" s="154" customFormat="1" ht="24.95" customHeight="1" x14ac:dyDescent="0.25">
      <c r="A22" s="156"/>
      <c r="B22" s="154">
        <v>1</v>
      </c>
      <c r="C22" s="150" t="str">
        <f>IFERROR(IF(AND(teacher_type="R",career_stage="P"),VLOOKUP(O22,RPI[],COLUMNS(RPI[[Strand]:[admin_selected_coi_ncoi]]),FALSE),IF(AND(teacher_type="R",career_stage="HP"),VLOOKUP(O22,RHPI[],COLUMNS(RHPI[[Strand]:[admin_selected_coi_ncoi]]),FALSE),IF(AND(teacher_type="TB",career_stage="P"),VLOOKUP(O22,TBPI[],COLUMNS(TBPI[[Strand]:[admin_selected_coi_ncoi]]),FALSE),IF(AND(teacher_type="TB",career_stage="HP"),VLOOKUP(O22,TBHPI[],COLUMNS(TBHPI[[Strand]:[admin_selected_coi_ncoi]]),FALSE),"NCOI")))),"NCOI")</f>
        <v>COI</v>
      </c>
      <c r="D22" s="150" t="str">
        <f>IF(G22,IF(C22&lt;&gt;"COI/NCOI",C22,P22),"")</f>
        <v>COI</v>
      </c>
      <c r="E22" s="150">
        <f>IFERROR(IF(AND(teacher_type="R",career_stage="P"),VLOOKUP($O22,RPI[[Strand]:[Domain]],COLUMNS(RPI[[Strand]:[Domain]]),FALSE),IF(AND(teacher_type="R",career_stage="HP"),VLOOKUP($O22,RHPI[[Strand]:[Domain]],COLUMNS(RHPI[[Strand]:[Domain]]),FALSE),IF(AND(teacher_type="TB",career_stage="P"),VLOOKUP($O22,TBPI[[Strand]:[Domain]],COLUMNS(TBPI[[Strand]:[Domain]]),FALSE),IF(AND(teacher_type="TB",career_stage="HP"),VLOOKUP($O22,TBHPI[[Strand]:[Domain]],COLUMNS(TBHPI[[Strand]:[Domain]]),FALSE),"")))),"")</f>
        <v>1</v>
      </c>
      <c r="F22" s="155" t="b">
        <f>AND(COUNTIFS($E$22:$E22,E22,$G$22:$G22,TRUE)=1,$G22)</f>
        <v>1</v>
      </c>
      <c r="G22" s="212" t="b">
        <f>IFERROR(IF(AND(teacher_type="R",career_stage="P"),VLOOKUP($O22,RPI[],COLUMNS(RPI[[Strand]:[Selected]]),FALSE),IF(AND(teacher_type="R",career_stage="HP"),VLOOKUP($O22,RHPI[],COLUMNS(RHPI[[Strand]:[Selected]]),FALSE),IF(AND(teacher_type="TB",career_stage="P"),VLOOKUP($O22,TBPI[],COLUMNS(TBPI[[Strand]:[Selected]]),FALSE),IF(AND(teacher_type="TB",career_stage="HP"),VLOOKUP($O22,TBHPI[],COLUMNS(TBHPI[[Strand]:[Selected]]),FALSE),FALSE)))),FALSE)</f>
        <v>1</v>
      </c>
      <c r="H22" s="156" t="b">
        <f>IFERROR(IF(AND(teacher_type="R",career_stage="P"),AND(COUNTIFS(RPS[Strand],$O22,RPS[QET],H$21)&gt;0,$G22),IF(AND(teacher_type="R",career_stage="HP"),AND(COUNTIFS(RHPS[Strand],$O22,RHPS[QET],H$21)&gt;0,$G22),IF(AND(teacher_type="TB",career_stage="P"),AND(COUNTIFS(TBPS[Strand],$O22,TBPS[QET],H$21)&gt;0,$G22),IF(AND(teacher_type="TB",career_stage="HP"),AND(COUNTIFS(TBHPS[Strand],$O22,TBHPS[QET],H$21)&gt;0,$G22),FALSE)))),FALSE)</f>
        <v>1</v>
      </c>
      <c r="I22" s="156" t="b">
        <f>IFERROR(IF(AND(H22,OR(D22="NCOI",D22=0)),TRUE,FALSE),FALSE)</f>
        <v>0</v>
      </c>
      <c r="J22" s="156" t="b">
        <f>IFERROR(IF(AND(teacher_type="R",career_stage="P"),AND(COUNTIFS(RPS[Strand],$O22,RPS[QET],J$21)&gt;0,$G22),IF(AND(teacher_type="R",career_stage="HP"),AND(COUNTIFS(RHPS[Strand],$O22,RHPS[QET],J$21)&gt;0,$G22),IF(AND(teacher_type="TB",career_stage="P"),AND(COUNTIFS(TBPS[Strand],$O22,TBPS[QET],J$21)&gt;0,$G22),IF(AND(teacher_type="TB",career_stage="HP"),AND(COUNTIFS(TBHPS[Strand],$O22,TBHPS[QET],J$21)&gt;0,$G22),FALSE)))),FALSE)</f>
        <v>1</v>
      </c>
      <c r="K22" s="156" t="b">
        <f>IFERROR(IF(AND(teacher_type="R",career_stage="P"),AND(COUNTIFS(RPS[Strand],$O22,RPS[QET],K$21)&gt;0,$G22),IF(AND(teacher_type="R",career_stage="HP"),AND(COUNTIFS(RHPS[Strand],$O22,RHPS[QET],K$21)&gt;0,$G22),IF(AND(teacher_type="TB",career_stage="P"),AND(COUNTIFS(TBPS[Strand],$O22,TBPS[QET],K$21)&gt;0,$G22),IF(AND(teacher_type="TB",career_stage="HP"),AND(COUNTIFS(TBHPS[Strand],$O22,TBHPS[QET],K$21)&gt;0,$G22),FALSE)))),FALSE)</f>
        <v>0</v>
      </c>
      <c r="L22" s="156" t="b">
        <f>AND(G22,D22="COI")</f>
        <v>1</v>
      </c>
      <c r="M22" s="157">
        <f>IFERROR(IF($F22,$E22,""),"")</f>
        <v>1</v>
      </c>
      <c r="N22" s="158">
        <f>IF($G22,COUNTIF($G$22:$G22,TRUE),"")</f>
        <v>1</v>
      </c>
      <c r="O22" s="158" t="str" cm="1">
        <f t="array" ref="O22">IFERROR(IF(AND(teacher_type="R",career_stage="P"),INDEX(RPI[Strand],$B22),IF(AND(teacher_type="R",career_stage="HP"),INDEX(RHPI[Strand],$B22),IF(AND(teacher_type="TB",career_stage="P"),INDEX(TBPI[Strand],$B22),IF(AND(teacher_type="TB",career_stage="HP"),INDEX(TBHPI[Strand],$B22),"")))),"")</f>
        <v>1.1.2</v>
      </c>
      <c r="P22" s="158" t="str">
        <f>$C$22</f>
        <v>COI</v>
      </c>
      <c r="Q22" s="159">
        <f>IFERROR(IF(AND(teacher_type="R",career_stage="P"),VLOOKUP(O22,RPI[],COLUMNS(RPI[[Strand]:[Weight]]),FALSE), IF(AND(teacher_type="R",career_stage="HP"),VLOOKUP(O22,RHPI[],COLUMNS(RHPI[[Strand]:[Weight]]),FALSE), IF(AND(teacher_type="TB",career_stage="P"),VLOOKUP(O22,TBPI[],COLUMNS(TBPI[[Strand]:[Weight]]),FALSE), IF(AND(teacher_type="TB",career_stage="HP"),VLOOKUP(O22,TBHPI[],COLUMNS(TBHPI[[Strand]:[Weight]]),FALSE),0)))),0)</f>
        <v>7.0000000000000007E-2</v>
      </c>
      <c r="R22" s="409">
        <f>COUNTIFS($D$22:D22,"COI",$G$22:G22,TRUE)</f>
        <v>1</v>
      </c>
      <c r="S22" s="478">
        <v>7</v>
      </c>
      <c r="T22" s="410">
        <f>IFERROR(IF(LOWER(TRIM(S$20))=LOWER(TRIM(data2!$U$35)),"",IF(AND($G22,$D22="COI",S$12,CZ22),IF(OR(LOWER(TRIM(S$20))=LOWER(TRIM(data2!$U$36)),ISBLANK(S22)),1,IF(career_stage="P",VLOOKUP(S22,P_COT_vlookup,2,FALSE),IF(career_stage="HP",VLOOKUP(S22,HP_COT_vlookup,2,FALSE),""))),"")),"")</f>
        <v>5</v>
      </c>
      <c r="U22" s="486">
        <v>7</v>
      </c>
      <c r="V22" s="161">
        <f>IFERROR(IF(LOWER(TRIM(U$20))=LOWER(TRIM(data2!$U$35)),"",IF(AND($G22,$D22="COI",U$12,DB22),IF(OR(LOWER(TRIM(U$20))=LOWER(TRIM(data2!$U$36)),ISBLANK(U22)),1,IF(career_stage="P",VLOOKUP(U22,P_COT_vlookup,2,FALSE),IF(career_stage="HP",VLOOKUP(U22,HP_COT_vlookup,2,FALSE),""))),"")),"")</f>
        <v>5</v>
      </c>
      <c r="W22" s="486">
        <v>7</v>
      </c>
      <c r="X22" s="160">
        <f>IFERROR(IF(LOWER(TRIM(W$20))=LOWER(TRIM(data2!$U$35)),"",IF(AND($G22,$D22="COI",W$12,DD22),IF(OR(LOWER(TRIM(W$20))=LOWER(TRIM(data2!$U$36)),ISBLANK(W22)),1,IF(career_stage="P",VLOOKUP(W22,P_COT_vlookup,2,FALSE),IF(career_stage="HP",VLOOKUP(W22,HP_COT_vlookup,2,FALSE),""))),"")),"")</f>
        <v>5</v>
      </c>
      <c r="Y22" s="469">
        <v>7</v>
      </c>
      <c r="Z22" s="161">
        <f>IFERROR(IF(LOWER(TRIM(Y$20))=LOWER(TRIM(data2!$U$35)),"",IF(AND($G22,$D22="COI",Y$12,DF22),IF(OR(LOWER(TRIM(Y$20))=LOWER(TRIM(data2!$U$36)),ISBLANK(Y22)),1,IF(career_stage="P",VLOOKUP(Y22,P_COT_vlookup,2,FALSE),IF(career_stage="HP",VLOOKUP(Y22,HP_COT_vlookup,2,FALSE),""))),"")),"")</f>
        <v>5</v>
      </c>
      <c r="AA22" s="162">
        <f>IFERROR(IF(NOT($L22),0,ROUNDDOWN(SUM($T22,$V22,$X22,$Z22)/DJ22,3)),0)</f>
        <v>5</v>
      </c>
      <c r="AB22" s="470">
        <f>IFERROR(IF(NOT(L22),"",VLOOKUP(ROUNDDOWN($AA$22,3),rating_desc_vlookup,3,TRUE)),1)</f>
        <v>5</v>
      </c>
      <c r="AC22" s="461">
        <v>5</v>
      </c>
      <c r="AD22" s="476"/>
      <c r="AE22" s="163">
        <f t="shared" ref="AE22:AE62" si="2">IFERROR(IF($G22,ROUNDDOWN(AVERAGE(AB22:AD22),3),0),0)</f>
        <v>5</v>
      </c>
      <c r="AF22" s="163">
        <f t="shared" ref="AF22:AF62" si="3">IFERROR(IF($G22,ROUNDDOWN(($AE22*$Q22),3),0),0)</f>
        <v>0.35</v>
      </c>
      <c r="AG22" s="164" t="str">
        <f t="shared" ref="AG22:AG62" si="4">IFERROR(VLOOKUP(ROUNDDOWN($AE22,3),rating_desc_vlookup,2,TRUE),"")</f>
        <v>Outstanding</v>
      </c>
      <c r="AI22" s="196" t="b">
        <f t="shared" ref="AI22:AI62" si="5">OR(NOT(G22),AND(G22,NOT(C22="COI/NCOI")),AND(G22,C22="COI/NCOI",NOT(ISBLANK(P22))))</f>
        <v>1</v>
      </c>
      <c r="AJ22" s="154" t="b">
        <v>1</v>
      </c>
      <c r="AK22" s="154" t="b">
        <v>1</v>
      </c>
      <c r="AL22" s="196" t="b">
        <f>OR(NOT(S$14),NOT(BG22),AND(S$14,NOT(BG22)),AND(S$14,BG22,NOT(ISBLANK(S22))))</f>
        <v>1</v>
      </c>
      <c r="AM22" s="154" t="b">
        <v>1</v>
      </c>
      <c r="AN22" s="196" t="b">
        <f>OR(NOT(U$14),NOT(BI22),AND(U$14,NOT(BI22)),AND(U$14,BI22,NOT(ISBLANK(U22))))</f>
        <v>1</v>
      </c>
      <c r="AO22" s="154" t="b">
        <v>1</v>
      </c>
      <c r="AP22" s="196" t="b">
        <f>OR(NOT(W$14),NOT(BK22),AND(W$14,NOT(BK22)),AND(W$14,BK22,NOT(ISBLANK(W22))))</f>
        <v>1</v>
      </c>
      <c r="AQ22" s="154" t="b">
        <v>1</v>
      </c>
      <c r="AR22" s="196" t="b">
        <f>OR(NOT(Y$14),NOT(BM22),AND(Y$14,NOT(BM22)),AND(Y$14,BM22,NOT(ISBLANK(Y22))))</f>
        <v>1</v>
      </c>
      <c r="AS22" s="154" t="b">
        <v>1</v>
      </c>
      <c r="AT22" s="154" t="b">
        <v>1</v>
      </c>
      <c r="AU22" s="196" t="b">
        <f t="shared" ref="AU22:AU62" si="6">OR(NOT(I22),AND(I22,NOT(ISBLANK(AB22))))</f>
        <v>1</v>
      </c>
      <c r="AV22" s="196" t="b">
        <f t="shared" ref="AV22:AV62" si="7">OR(NOT(J22),AND(J22,NOT(ISBLANK(AC22))))</f>
        <v>1</v>
      </c>
      <c r="AW22" s="196" t="b">
        <f t="shared" ref="AW22:AW62" si="8">OR(NOT(K22),AND(K22,NOT(ISBLANK(AD22))))</f>
        <v>1</v>
      </c>
      <c r="AX22" s="47" t="b">
        <v>1</v>
      </c>
      <c r="AY22" s="47" t="b">
        <v>1</v>
      </c>
      <c r="AZ22" s="47" t="b">
        <v>1</v>
      </c>
      <c r="BF22" s="154" t="str">
        <f t="shared" ref="BF22:BF62" si="9">O22</f>
        <v>1.1.2</v>
      </c>
      <c r="BG22" s="196" t="b" cm="1">
        <f t="array" ref="BG22">IFERROR(IF(OR(LOWER(TRIM(S$20))=LOWER(TRIM(data2!$U$35)),LOWER(TRIM(S$20))=LOWER(TRIM(data2!$U$36))),FALSE,AND(S$12,IF(AND($G22,$D22="COI"),
IF(AND(teacher_type="R",career_stage="P"),VLOOKUP($BF22,RPI[],COLUMN(RPI[cot1]),FALSE),
IF(AND(teacher_type="R",career_stage="HP"),VLOOKUP($BF22,RHPI[],COLUMN(RHPI[cot1]),FALSE),
IF(AND(teacher_type="TB",career_stage="P"),VLOOKUP($BF22,TBPI[],COLUMN(TBPI[cot1]),FALSE),
IF(AND(teacher_type="TB",career_stage="HP"),VLOOKUP($BF22,TBHPI[],COLUMN(TBHPI[cot1]),FALSE),FALSE)))),
FALSE))),FALSE)</f>
        <v>1</v>
      </c>
      <c r="BH22" s="154" t="b">
        <v>0</v>
      </c>
      <c r="BI22" s="196" t="b" cm="1">
        <f t="array" ref="BI22">IFERROR(IF(OR(LOWER(TRIM(U$20))=LOWER(TRIM(data2!$U$35)),LOWER(TRIM(U$20))=LOWER(TRIM(data2!$U$36))),FALSE,AND(U$12,IF(AND($G22,$D22="COI"),
IF(AND(teacher_type="R",career_stage="P"),VLOOKUP($BF22,RPI[],COLUMN(RPI[cot2]),FALSE),
IF(AND(teacher_type="R",career_stage="HP"),VLOOKUP($BF22,RHPI[],COLUMN(RHPI[cot2]),FALSE),
IF(AND(teacher_type="TB",career_stage="P"),VLOOKUP($BF22,TBPI[],COLUMN(TBPI[cot2]),FALSE),
IF(AND(teacher_type="TB",career_stage="HP"),VLOOKUP($BF22,TBHPI[],COLUMN(TBHPI[cot2]),FALSE),FALSE)))),
FALSE))),FALSE)</f>
        <v>1</v>
      </c>
      <c r="BJ22" s="154" t="b">
        <v>0</v>
      </c>
      <c r="BK22" s="196" t="b" cm="1">
        <f t="array" ref="BK22">IFERROR(IF(OR(LOWER(TRIM(W$20))=LOWER(TRIM(data2!$U$35)),LOWER(TRIM(W$20))=LOWER(TRIM(data2!$U$36))),FALSE,AND(W$12,IF(AND($G22,$D22="COI"),
IF(AND(teacher_type="R",career_stage="P"),VLOOKUP($BF22,RPI[],COLUMN(RPI[cot3]),FALSE),
IF(AND(teacher_type="R",career_stage="HP"),VLOOKUP($BF22,RHPI[],COLUMN(RHPI[cot3]),FALSE),
IF(AND(teacher_type="TB",career_stage="P"),VLOOKUP($BF22,TBPI[],COLUMN(TBPI[cot3]),FALSE),
IF(AND(teacher_type="TB",career_stage="HP"),VLOOKUP($BF22,TBHPI[],COLUMN(TBHPI[cot3]),FALSE),FALSE)))),
FALSE))),FALSE)</f>
        <v>1</v>
      </c>
      <c r="BL22" s="154" t="b">
        <v>0</v>
      </c>
      <c r="BM22" s="196" t="b" cm="1">
        <f t="array" ref="BM22">IFERROR(IF(OR(LOWER(TRIM(Y$20))=LOWER(TRIM(data2!$U$35)),LOWER(TRIM(Y$20))=LOWER(TRIM(data2!$U$36))),FALSE,AND(Y$12,IF(AND($G22,$D22="COI"),
IF(AND(teacher_type="R",career_stage="P"),VLOOKUP($BF22,RPI[],COLUMN(RPI[cot4]),FALSE),
IF(AND(teacher_type="R",career_stage="HP"),VLOOKUP($BF22,RHPI[],COLUMN(RHPI[cot4]),FALSE),
IF(AND(teacher_type="TB",career_stage="P"),VLOOKUP($BF22,TBPI[],COLUMN(TBPI[cot4]),FALSE),
IF(AND(teacher_type="TB",career_stage="HP"),VLOOKUP($BF22,TBHPI[],COLUMN(TBHPI[cot4]),FALSE),FALSE)))),
FALSE))),FALSE)</f>
        <v>1</v>
      </c>
      <c r="BN22" s="154" t="b">
        <v>0</v>
      </c>
      <c r="BO22" s="150">
        <f>COUNTIF(BG22:BN22,TRUE)</f>
        <v>4</v>
      </c>
      <c r="BP22" s="196" t="b">
        <f>AND($G22, NOT(BG22),$D22="COI",S$12)</f>
        <v>0</v>
      </c>
      <c r="BQ22" s="196" t="b">
        <f>IFERROR(IF(OR(NOT(CZ22),LOWER(TRIM(S$20))=LOWER(TRIM(data2!$U$35))),TRUE,IF(AND(CZ22,LOWER(TRIM(S$20))=LOWER(TRIM(data2!$U$36))),FALSE)),FALSE)</f>
        <v>0</v>
      </c>
      <c r="BR22" s="196" t="b">
        <f>AND($G22, NOT(BI22),$D22="COI",U$12)</f>
        <v>0</v>
      </c>
      <c r="BS22" s="196" t="b">
        <f>IFERROR(IF(OR(NOT(DB22),LOWER(TRIM(U$20))=LOWER(TRIM(data2!$U$35))),TRUE,IF(AND(DB22,LOWER(TRIM(U$20))=LOWER(TRIM(data2!$U$36))),FALSE)),FALSE)</f>
        <v>0</v>
      </c>
      <c r="BT22" s="196" t="b">
        <f>AND($G22, NOT(BK22),$D22="COI",W$12)</f>
        <v>0</v>
      </c>
      <c r="BU22" s="196" t="b">
        <f>IFERROR(IF(OR(NOT(DD22),LOWER(TRIM(W$20))=LOWER(TRIM(data2!$U$35))),TRUE,IF(AND(DD22,LOWER(TRIM(W$20))=LOWER(TRIM(data2!$U$36))),FALSE)),FALSE)</f>
        <v>0</v>
      </c>
      <c r="BV22" s="196" t="b">
        <f>AND($G22, NOT(BM22),$D22="COI",Y$12)</f>
        <v>0</v>
      </c>
      <c r="BW22" s="196" t="b">
        <f>IFERROR(IF(OR(NOT(DF22),LOWER(TRIM(Y$20))=LOWER(TRIM(data2!$U$35))),TRUE,IF(AND(DF22,LOWER(TRIM(Y$20))=LOWER(TRIM(data2!$U$36))),FALSE)),FALSE)</f>
        <v>0</v>
      </c>
      <c r="BY22" s="154" t="str">
        <f>IF(AND($G22,I22),$BF22&amp;"-"&amp;BY$21&amp;"-"&amp;$D22,"")</f>
        <v/>
      </c>
      <c r="BZ22" s="154" t="str">
        <f>IF(AND($G22,J22),$BF22&amp;"-"&amp;BZ$21&amp;"-"&amp;$D22,"")</f>
        <v>1.1.2-E-COI</v>
      </c>
      <c r="CA22" s="154" t="str">
        <f>IF(AND($G22,K22),$BF22&amp;"-"&amp;CA$21&amp;"-"&amp;$D22,"")</f>
        <v/>
      </c>
      <c r="CB22" s="154" t="str">
        <f>"CE" &amp; ROW() &amp; ":CI" &amp; ROW()</f>
        <v>CE22:CI22</v>
      </c>
      <c r="CC22" s="154" t="str">
        <f>"CK" &amp; ROW() &amp; ":CO" &amp; ROW()</f>
        <v>CK22:CO22</v>
      </c>
      <c r="CD22" s="154" t="str">
        <f>"CQ" &amp; ROW() &amp; ":CU" &amp; ROW()</f>
        <v>CQ22:CU22</v>
      </c>
      <c r="CE22" s="359" cm="1">
        <f t="array" ref="CE22">IFERROR(IF($BY22&lt;&gt;"",
IF(AND(teacher_type="R",career_stage="P"),
    IF(INDEX(RPS[[Outstanding]:[Poor]],MATCH($BY22,RPS[[helper]:[helper]],0),CE$19)&lt;&gt;"",CE$20,""),
IF(AND(teacher_type="R",career_stage="HP"),
    IF(INDEX(RHPS[[Outstanding]:[Poor]],MATCH($BY22,RHPS[[helper]:[helper]],0),CE$19)&lt;&gt;"",CE$20,""),
IF(AND(teacher_type="TB",career_stage="P"),
    IF(INDEX(TBPS[[Outstanding]:[Poor]],MATCH($BY22,TBPS[[helper]:[helper]],0),CE$19)&lt;&gt;"",CE$20,""),
IF(AND(teacher_type="TB",career_stage="HP"),
    IF(INDEX(TBHPS[[Outstanding]:[Poor]],MATCH($BY22,TBHPS[[helper]:[helper]],0),CE$19)&lt;&gt;"",CE$20,""),
CE$20)))),
CE$20),CE$20)</f>
        <v>5</v>
      </c>
      <c r="CF22" s="359" cm="1">
        <f t="array" ref="CF22">IFERROR(IF($BY22&lt;&gt;"",
IF(AND(teacher_type="R",career_stage="P"),
    IF(INDEX(RPS[[Outstanding]:[Poor]],MATCH($BY22,RPS[[helper]:[helper]],0),CF$19)&lt;&gt;"",CF$20,""),
IF(AND(teacher_type="R",career_stage="HP"),
    IF(INDEX(RHPS[[Outstanding]:[Poor]],MATCH($BY22,RHPS[[helper]:[helper]],0),CF$19)&lt;&gt;"",CF$20,""),
IF(AND(teacher_type="TB",career_stage="P"),
    IF(INDEX(TBPS[[Outstanding]:[Poor]],MATCH($BY22,TBPS[[helper]:[helper]],0),CF$19)&lt;&gt;"",CF$20,""),
IF(AND(teacher_type="TB",career_stage="HP"),
    IF(INDEX(TBHPS[[Outstanding]:[Poor]],MATCH($BY22,TBHPS[[helper]:[helper]],0),CF$19)&lt;&gt;"",CF$20,""),
CF$20)))),
CF$20),CF$20)</f>
        <v>4</v>
      </c>
      <c r="CG22" s="359" cm="1">
        <f t="array" ref="CG22">IFERROR(IF($BY22&lt;&gt;"",
IF(AND(teacher_type="R",career_stage="P"),
    IF(INDEX(RPS[[Outstanding]:[Poor]],MATCH($BY22,RPS[[helper]:[helper]],0),CG$19)&lt;&gt;"",CG$20,""),
IF(AND(teacher_type="R",career_stage="HP"),
    IF(INDEX(RHPS[[Outstanding]:[Poor]],MATCH($BY22,RHPS[[helper]:[helper]],0),CG$19)&lt;&gt;"",CG$20,""),
IF(AND(teacher_type="TB",career_stage="P"),
    IF(INDEX(TBPS[[Outstanding]:[Poor]],MATCH($BY22,TBPS[[helper]:[helper]],0),CG$19)&lt;&gt;"",CG$20,""),
IF(AND(teacher_type="TB",career_stage="HP"),
    IF(INDEX(TBHPS[[Outstanding]:[Poor]],MATCH($BY22,TBHPS[[helper]:[helper]],0),CG$19)&lt;&gt;"",CG$20,""),
CG$20)))),
CG$20),CG$20)</f>
        <v>3</v>
      </c>
      <c r="CH22" s="359" cm="1">
        <f t="array" ref="CH22">IFERROR(IF($BY22&lt;&gt;"",
IF(AND(teacher_type="R",career_stage="P"),
    IF(INDEX(RPS[[Outstanding]:[Poor]],MATCH($BY22,RPS[[helper]:[helper]],0),CH$19)&lt;&gt;"",CH$20,""),
IF(AND(teacher_type="R",career_stage="HP"),
    IF(INDEX(RHPS[[Outstanding]:[Poor]],MATCH($BY22,RHPS[[helper]:[helper]],0),CH$19)&lt;&gt;"",CH$20,""),
IF(AND(teacher_type="TB",career_stage="P"),
    IF(INDEX(TBPS[[Outstanding]:[Poor]],MATCH($BY22,TBPS[[helper]:[helper]],0),CH$19)&lt;&gt;"",CH$20,""),
IF(AND(teacher_type="TB",career_stage="HP"),
    IF(INDEX(TBHPS[[Outstanding]:[Poor]],MATCH($BY22,TBHPS[[helper]:[helper]],0),CH$19)&lt;&gt;"",CH$20,""),
CH$20)))),
CH$20),CH$20)</f>
        <v>2</v>
      </c>
      <c r="CI22" s="359" cm="1">
        <f t="array" ref="CI22">IFERROR(IF($BY22&lt;&gt;"",
IF(AND(teacher_type="R",career_stage="P"),
    IF(INDEX(RPS[[Outstanding]:[Poor]],MATCH($BY22,RPS[[helper]:[helper]],0),CI$19)&lt;&gt;"",CI$20,""),
IF(AND(teacher_type="R",career_stage="HP"),
    IF(INDEX(RHPS[[Outstanding]:[Poor]],MATCH($BY22,RHPS[[helper]:[helper]],0),CI$19)&lt;&gt;"",CI$20,""),
IF(AND(teacher_type="TB",career_stage="P"),
    IF(INDEX(TBPS[[Outstanding]:[Poor]],MATCH($BY22,TBPS[[helper]:[helper]],0),CI$19)&lt;&gt;"",CI$20,""),
IF(AND(teacher_type="TB",career_stage="HP"),
    IF(INDEX(TBHPS[[Outstanding]:[Poor]],MATCH($BY22,TBHPS[[helper]:[helper]],0),CI$19)&lt;&gt;"",CI$20,""),
CI$20)))),
CI$20),CI$20)</f>
        <v>1</v>
      </c>
      <c r="CJ22" s="360">
        <f>COUNT(CE22:CI22)</f>
        <v>5</v>
      </c>
      <c r="CK22" s="359" cm="1">
        <f t="array" ref="CK22">IFERROR(IF($BZ22&lt;&gt;"",
IF(AND(teacher_type="R",career_stage="P"),
    IF(INDEX(RPS[[Outstanding]:[Poor]],MATCH($BZ22,RPS[[helper]:[helper]],0),CK$19)&lt;&gt;"",CK$20,""),
IF(AND(teacher_type="R",career_stage="HP"),
    IF(INDEX(RHPS[[Outstanding]:[Poor]],MATCH($BZ22,RHPS[[helper]:[helper]],0),CK$19)&lt;&gt;"",CK$20,""),
IF(AND(teacher_type="TB",career_stage="P"),
    IF(INDEX(TBPS[[Outstanding]:[Poor]],MATCH($BZ22,TBPS[[helper]:[helper]],0),CK$19)&lt;&gt;"",CK$20,""),
IF(AND(teacher_type="TB",career_stage="HP"),
    IF(INDEX(TBHPS[[Outstanding]:[Poor]],MATCH($BZ22,TBHPS[[helper]:[helper]],0),CK$19)&lt;&gt;"",CK$20,""),
CK$20)))),
CK$20),CK$20)</f>
        <v>5</v>
      </c>
      <c r="CL22" s="359" t="str" cm="1">
        <f t="array" ref="CL22">IFERROR(IF($BZ22&lt;&gt;"",
IF(AND(teacher_type="R",career_stage="P"),
    IF(INDEX(RPS[[Outstanding]:[Poor]],MATCH($BZ22,RPS[[helper]:[helper]],0),CL$19)&lt;&gt;"",CL$20,""),
IF(AND(teacher_type="R",career_stage="HP"),
    IF(INDEX(RHPS[[Outstanding]:[Poor]],MATCH($BZ22,RHPS[[helper]:[helper]],0),CL$19)&lt;&gt;"",CL$20,""),
IF(AND(teacher_type="TB",career_stage="P"),
    IF(INDEX(TBPS[[Outstanding]:[Poor]],MATCH($BZ22,TBPS[[helper]:[helper]],0),CL$19)&lt;&gt;"",CL$20,""),
IF(AND(teacher_type="TB",career_stage="HP"),
    IF(INDEX(TBHPS[[Outstanding]:[Poor]],MATCH($BZ22,TBHPS[[helper]:[helper]],0),CL$19)&lt;&gt;"",CL$20,""),
CL$20)))),
CL$20),CL$20)</f>
        <v/>
      </c>
      <c r="CM22" s="359" cm="1">
        <f t="array" ref="CM22">IFERROR(IF($BZ22&lt;&gt;"",
IF(AND(teacher_type="R",career_stage="P"),
    IF(INDEX(RPS[[Outstanding]:[Poor]],MATCH($BZ22,RPS[[helper]:[helper]],0),CM$19)&lt;&gt;"",CM$20,""),
IF(AND(teacher_type="R",career_stage="HP"),
    IF(INDEX(RHPS[[Outstanding]:[Poor]],MATCH($BZ22,RHPS[[helper]:[helper]],0),CM$19)&lt;&gt;"",CM$20,""),
IF(AND(teacher_type="TB",career_stage="P"),
    IF(INDEX(TBPS[[Outstanding]:[Poor]],MATCH($BZ22,TBPS[[helper]:[helper]],0),CM$19)&lt;&gt;"",CM$20,""),
IF(AND(teacher_type="TB",career_stage="HP"),
    IF(INDEX(TBHPS[[Outstanding]:[Poor]],MATCH($BZ22,TBHPS[[helper]:[helper]],0),CM$19)&lt;&gt;"",CM$20,""),
CM$20)))),
CM$20),CM$20)</f>
        <v>3</v>
      </c>
      <c r="CN22" s="359" t="str" cm="1">
        <f t="array" ref="CN22">IFERROR(IF($BZ22&lt;&gt;"",
IF(AND(teacher_type="R",career_stage="P"),
    IF(INDEX(RPS[[Outstanding]:[Poor]],MATCH($BZ22,RPS[[helper]:[helper]],0),CN$19)&lt;&gt;"",CN$20,""),
IF(AND(teacher_type="R",career_stage="HP"),
    IF(INDEX(RHPS[[Outstanding]:[Poor]],MATCH($BZ22,RHPS[[helper]:[helper]],0),CN$19)&lt;&gt;"",CN$20,""),
IF(AND(teacher_type="TB",career_stage="P"),
    IF(INDEX(TBPS[[Outstanding]:[Poor]],MATCH($BZ22,TBPS[[helper]:[helper]],0),CN$19)&lt;&gt;"",CN$20,""),
IF(AND(teacher_type="TB",career_stage="HP"),
    IF(INDEX(TBHPS[[Outstanding]:[Poor]],MATCH($BZ22,TBHPS[[helper]:[helper]],0),CN$19)&lt;&gt;"",CN$20,""),
CN$20)))),
CN$20),CN$20)</f>
        <v/>
      </c>
      <c r="CO22" s="359" cm="1">
        <f t="array" ref="CO22">IFERROR(IF($BZ22&lt;&gt;"",
IF(AND(teacher_type="R",career_stage="P"),
    IF(INDEX(RPS[[Outstanding]:[Poor]],MATCH($BZ22,RPS[[helper]:[helper]],0),CO$19)&lt;&gt;"",CO$20,""),
IF(AND(teacher_type="R",career_stage="HP"),
    IF(INDEX(RHPS[[Outstanding]:[Poor]],MATCH($BZ22,RHPS[[helper]:[helper]],0),CO$19)&lt;&gt;"",CO$20,""),
IF(AND(teacher_type="TB",career_stage="P"),
    IF(INDEX(TBPS[[Outstanding]:[Poor]],MATCH($BZ22,TBPS[[helper]:[helper]],0),CO$19)&lt;&gt;"",CO$20,""),
IF(AND(teacher_type="TB",career_stage="HP"),
    IF(INDEX(TBHPS[[Outstanding]:[Poor]],MATCH($BZ22,TBHPS[[helper]:[helper]],0),CO$19)&lt;&gt;"",CO$20,""),
CO$20)))),
CO$20),CO$20)</f>
        <v>1</v>
      </c>
      <c r="CP22" s="360">
        <f>COUNT(CK22:CO22)</f>
        <v>3</v>
      </c>
      <c r="CQ22" s="359" cm="1">
        <f t="array" ref="CQ22">IFERROR(IF($CA22&lt;&gt;"",
IF(AND(teacher_type="R",career_stage="P"),
    IF(INDEX(RPS[[Outstanding]:[Poor]],MATCH($CA22,RPS[[helper]:[helper]],0),CQ$19)&lt;&gt;"",CQ$20,""),
IF(AND(teacher_type="R",career_stage="HP"),
    IF(INDEX(RHPS[[Outstanding]:[Poor]],MATCH($CA22,RHPS[[helper]:[helper]],0),CQ$19)&lt;&gt;"",CQ$20,""),
IF(AND(teacher_type="TB",career_stage="P"),
    IF(INDEX(TBPS[[Outstanding]:[Poor]],MATCH($CA22,TBPS[[helper]:[helper]],0),CQ$19)&lt;&gt;"",CQ$20,""),
IF(AND(teacher_type="TB",career_stage="HP"),
    IF(INDEX(TBHPS[[Outstanding]:[Poor]],MATCH($CA22,TBHPS[[helper]:[helper]],0),CQ$19)&lt;&gt;"",CQ$20,""),
CQ$20)))),
CQ$20),CQ$20)</f>
        <v>5</v>
      </c>
      <c r="CR22" s="359" cm="1">
        <f t="array" ref="CR22">IFERROR(IF($CA22&lt;&gt;"",
IF(AND(teacher_type="R",career_stage="P"),
    IF(INDEX(RPS[[Outstanding]:[Poor]],MATCH($CA22,RPS[[helper]:[helper]],0),CR$19)&lt;&gt;"",CR$20,""),
IF(AND(teacher_type="R",career_stage="HP"),
    IF(INDEX(RHPS[[Outstanding]:[Poor]],MATCH($CA22,RHPS[[helper]:[helper]],0),CR$19)&lt;&gt;"",CR$20,""),
IF(AND(teacher_type="TB",career_stage="P"),
    IF(INDEX(TBPS[[Outstanding]:[Poor]],MATCH($CA22,TBPS[[helper]:[helper]],0),CR$19)&lt;&gt;"",CR$20,""),
IF(AND(teacher_type="TB",career_stage="HP"),
    IF(INDEX(TBHPS[[Outstanding]:[Poor]],MATCH($CA22,TBHPS[[helper]:[helper]],0),CR$19)&lt;&gt;"",CR$20,""),
CR$20)))),
CR$20),CR$20)</f>
        <v>4</v>
      </c>
      <c r="CS22" s="359" cm="1">
        <f t="array" ref="CS22">IFERROR(IF($CA22&lt;&gt;"",
IF(AND(teacher_type="R",career_stage="P"),
    IF(INDEX(RPS[[Outstanding]:[Poor]],MATCH($CA22,RPS[[helper]:[helper]],0),CS$19)&lt;&gt;"",CS$20,""),
IF(AND(teacher_type="R",career_stage="HP"),
    IF(INDEX(RHPS[[Outstanding]:[Poor]],MATCH($CA22,RHPS[[helper]:[helper]],0),CS$19)&lt;&gt;"",CS$20,""),
IF(AND(teacher_type="TB",career_stage="P"),
    IF(INDEX(TBPS[[Outstanding]:[Poor]],MATCH($CA22,TBPS[[helper]:[helper]],0),CS$19)&lt;&gt;"",CS$20,""),
IF(AND(teacher_type="TB",career_stage="HP"),
    IF(INDEX(TBHPS[[Outstanding]:[Poor]],MATCH($CA22,TBHPS[[helper]:[helper]],0),CS$19)&lt;&gt;"",CS$20,""),
CS$20)))),
CS$20),CS$20)</f>
        <v>3</v>
      </c>
      <c r="CT22" s="359" cm="1">
        <f t="array" ref="CT22">IFERROR(IF($CA22&lt;&gt;"",
IF(AND(teacher_type="R",career_stage="P"),
    IF(INDEX(RPS[[Outstanding]:[Poor]],MATCH($CA22,RPS[[helper]:[helper]],0),CT$19)&lt;&gt;"",CT$20,""),
IF(AND(teacher_type="R",career_stage="HP"),
    IF(INDEX(RHPS[[Outstanding]:[Poor]],MATCH($CA22,RHPS[[helper]:[helper]],0),CT$19)&lt;&gt;"",CT$20,""),
IF(AND(teacher_type="TB",career_stage="P"),
    IF(INDEX(TBPS[[Outstanding]:[Poor]],MATCH($CA22,TBPS[[helper]:[helper]],0),CT$19)&lt;&gt;"",CT$20,""),
IF(AND(teacher_type="TB",career_stage="HP"),
    IF(INDEX(TBHPS[[Outstanding]:[Poor]],MATCH($CA22,TBHPS[[helper]:[helper]],0),CT$19)&lt;&gt;"",CT$20,""),
CT$20)))),
CT$20),CT$20)</f>
        <v>2</v>
      </c>
      <c r="CU22" s="359" cm="1">
        <f t="array" ref="CU22">IFERROR(IF($CA22&lt;&gt;"",
IF(AND(teacher_type="R",career_stage="P"),
    IF(INDEX(RPS[[Outstanding]:[Poor]],MATCH($CA22,RPS[[helper]:[helper]],0),CU$19)&lt;&gt;"",CU$20,""),
IF(AND(teacher_type="R",career_stage="HP"),
    IF(INDEX(RHPS[[Outstanding]:[Poor]],MATCH($CA22,RHPS[[helper]:[helper]],0),CU$19)&lt;&gt;"",CU$20,""),
IF(AND(teacher_type="TB",career_stage="P"),
    IF(INDEX(TBPS[[Outstanding]:[Poor]],MATCH($CA22,TBPS[[helper]:[helper]],0),CU$19)&lt;&gt;"",CU$20,""),
IF(AND(teacher_type="TB",career_stage="HP"),
    IF(INDEX(TBHPS[[Outstanding]:[Poor]],MATCH($CA22,TBHPS[[helper]:[helper]],0),CU$19)&lt;&gt;"",CU$20,""),
CU$20)))),
CU$20),CU$20)</f>
        <v>1</v>
      </c>
      <c r="CV22" s="360">
        <f>COUNT(CQ22:CU22)</f>
        <v>5</v>
      </c>
      <c r="CY22" s="443" t="b" cm="1">
        <f t="array" ref="CY22">IFERROR(AND(S$12,IF(AND($G22,$D22="COI"),
IF(AND(teacher_type="R",career_stage="P"),VLOOKUP($BF22,RPI[],COLUMN(RPI[cot1]),FALSE),
IF(AND(teacher_type="R",career_stage="HP"),VLOOKUP($BF22,RHPI[],COLUMN(RHPI[cot1]),FALSE),
IF(AND(teacher_type="TB",career_stage="P"),VLOOKUP($BF22,TBPI[],COLUMN(TBPI[cot1]),FALSE),
IF(AND(teacher_type="TB",career_stage="HP"),VLOOKUP($BF22,TBHPI[],COLUMN(TBHPI[cot1]),FALSE),FALSE)))),
FALSE)),FALSE)</f>
        <v>1</v>
      </c>
      <c r="CZ22" s="443" t="b">
        <f>CY22</f>
        <v>1</v>
      </c>
      <c r="DA22" s="443" t="b" cm="1">
        <f t="array" ref="DA22">IFERROR(AND(U$12,IF(AND($G22,$D22="COI"),
IF(AND(teacher_type="R",career_stage="P"),VLOOKUP($BF22,RPI[],COLUMN(RPI[cot2]),FALSE),
IF(AND(teacher_type="R",career_stage="HP"),VLOOKUP($BF22,RHPI[],COLUMN(RHPI[cot2]),FALSE),
IF(AND(teacher_type="TB",career_stage="P"),VLOOKUP($BF22,TBPI[],COLUMN(TBPI[cot2]),FALSE),
IF(AND(teacher_type="TB",career_stage="HP"),VLOOKUP($BF22,TBHPI[],COLUMN(TBHPI[cot2]),FALSE),FALSE)))),
FALSE)),FALSE)</f>
        <v>1</v>
      </c>
      <c r="DB22" s="443" t="b">
        <f>DA22</f>
        <v>1</v>
      </c>
      <c r="DC22" s="443" t="b" cm="1">
        <f t="array" ref="DC22">IFERROR(AND(W$12,IF(AND($G22,$D22="COI"),
IF(AND(teacher_type="R",career_stage="P"),VLOOKUP($BF22,RPI[],COLUMN(RPI[cot3]),FALSE),
IF(AND(teacher_type="R",career_stage="HP"),VLOOKUP($BF22,RHPI[],COLUMN(RHPI[cot3]),FALSE),
IF(AND(teacher_type="TB",career_stage="P"),VLOOKUP($BF22,TBPI[],COLUMN(TBPI[cot3]),FALSE),
IF(AND(teacher_type="TB",career_stage="HP"),VLOOKUP($BF22,TBHPI[],COLUMN(TBHPI[cot3]),FALSE),FALSE)))),
FALSE)),FALSE)</f>
        <v>1</v>
      </c>
      <c r="DD22" s="443" t="b">
        <f>DC22</f>
        <v>1</v>
      </c>
      <c r="DE22" s="443" t="b" cm="1">
        <f t="array" ref="DE22">IFERROR(AND(Y$12,IF(AND($G22,$D22="COI"),
IF(AND(teacher_type="R",career_stage="P"),VLOOKUP($BF22,RPI[],COLUMN(RPI[cot4]),FALSE),
IF(AND(teacher_type="R",career_stage="HP"),VLOOKUP($BF22,RHPI[],COLUMN(RHPI[cot4]),FALSE),
IF(AND(teacher_type="TB",career_stage="P"),VLOOKUP($BF22,TBPI[],COLUMN(TBPI[cot4]),FALSE),
IF(AND(teacher_type="TB",career_stage="HP"),VLOOKUP($BF22,TBHPI[],COLUMN(TBHPI[cot4]),FALSE),FALSE)))),
FALSE)),FALSE)</f>
        <v>1</v>
      </c>
      <c r="DF22" s="443" t="b">
        <f>DE22</f>
        <v>1</v>
      </c>
      <c r="DG22" s="150">
        <f>COUNTIF(CY22,TRUE)+COUNTIF(DA22,TRUE)+COUNTIF(DC22,TRUE)+COUNTIF(DE22,TRUE)</f>
        <v>4</v>
      </c>
      <c r="DH22" s="154">
        <f>IF(AND(CY22,LOWER(TRIM(S$20))=LOWER(TRIM(data2!$U$35))),1,0) +
IF(AND(DA22,LOWER(TRIM(U$20))=LOWER(TRIM(data2!$U$35))),1,0) +
IF(AND(DC22,LOWER(TRIM(W$20))=LOWER(TRIM(data2!$U$35))),1,0) +
IF(AND(DE22,LOWER(TRIM(Y$20))=LOWER(TRIM(data2!$U$35))),1,0)</f>
        <v>0</v>
      </c>
      <c r="DJ22" s="154">
        <f>DG22-DH22</f>
        <v>4</v>
      </c>
      <c r="DL22" s="154" t="str">
        <f>cot_inc_rating_sy_end</f>
        <v/>
      </c>
    </row>
    <row r="23" spans="1:116" s="154" customFormat="1" ht="24.95" hidden="1" customHeight="1" x14ac:dyDescent="0.25">
      <c r="A23" s="156"/>
      <c r="B23" s="154">
        <v>2</v>
      </c>
      <c r="C23" s="150" t="str">
        <f>IFERROR(IF(AND(teacher_type="R",career_stage="P"),VLOOKUP(O23,RPI[],COLUMNS(RPI[[Strand]:[admin_selected_coi_ncoi]]),FALSE),IF(AND(teacher_type="R",career_stage="HP"),VLOOKUP(O23,RHPI[],COLUMNS(RHPI[[Strand]:[admin_selected_coi_ncoi]]),FALSE),IF(AND(teacher_type="TB",career_stage="P"),VLOOKUP(O23,TBPI[],COLUMNS(TBPI[[Strand]:[admin_selected_coi_ncoi]]),FALSE),IF(AND(teacher_type="TB",career_stage="HP"),VLOOKUP(O23,TBHPI[],COLUMNS(TBHPI[[Strand]:[admin_selected_coi_ncoi]]),FALSE),"NCOI")))),"NCOI")</f>
        <v>NCOI</v>
      </c>
      <c r="D23" s="150" t="str">
        <f t="shared" ref="D23:D62" si="10">IF(G23,IF(C23&lt;&gt;"COI/NCOI",C23,P23),"")</f>
        <v/>
      </c>
      <c r="E23" s="150">
        <f>IFERROR(IF(AND(teacher_type="R",career_stage="P"),VLOOKUP($O23,RPI[[Strand]:[Domain]],COLUMNS(RPI[[Strand]:[Domain]]),FALSE),IF(AND(teacher_type="R",career_stage="HP"),VLOOKUP($O23,RHPI[[Strand]:[Domain]],COLUMNS(RHPI[[Strand]:[Domain]]),FALSE),IF(AND(teacher_type="TB",career_stage="P"),VLOOKUP($O23,TBPI[[Strand]:[Domain]],COLUMNS(TBPI[[Strand]:[Domain]]),FALSE),IF(AND(teacher_type="TB",career_stage="HP"),VLOOKUP($O23,TBHPI[[Strand]:[Domain]],COLUMNS(TBHPI[[Strand]:[Domain]]),FALSE),"")))),"")</f>
        <v>1</v>
      </c>
      <c r="F23" s="155" t="b">
        <f>AND(COUNTIFS($E$22:$E23,E23,$G$22:$G23,TRUE)=1,$G23)</f>
        <v>0</v>
      </c>
      <c r="G23" s="212" t="b">
        <f>IFERROR(IF(AND(teacher_type="R",career_stage="P"),VLOOKUP($O23,RPI[],COLUMNS(RPI[[Strand]:[Selected]]),FALSE),IF(AND(teacher_type="R",career_stage="HP"),VLOOKUP($O23,RHPI[],COLUMNS(RHPI[[Strand]:[Selected]]),FALSE),IF(AND(teacher_type="TB",career_stage="P"),VLOOKUP($O23,TBPI[],COLUMNS(TBPI[[Strand]:[Selected]]),FALSE),IF(AND(teacher_type="TB",career_stage="HP"),VLOOKUP($O23,TBHPI[],COLUMNS(TBHPI[[Strand]:[Selected]]),FALSE),FALSE)))),FALSE)</f>
        <v>0</v>
      </c>
      <c r="H23" s="156" t="b">
        <f>IFERROR(IF(AND(teacher_type="R",career_stage="P"),AND(COUNTIFS(RPS[Strand],$O23,RPS[QET],H$21)&gt;0,$G23),IF(AND(teacher_type="R",career_stage="HP"),AND(COUNTIFS(RHPS[Strand],$O23,RHPS[QET],H$21)&gt;0,$G23),IF(AND(teacher_type="TB",career_stage="P"),AND(COUNTIFS(TBPS[Strand],$O23,TBPS[QET],H$21)&gt;0,$G23),IF(AND(teacher_type="TB",career_stage="HP"),AND(COUNTIFS(TBHPS[Strand],$O23,TBHPS[QET],H$21)&gt;0,$G23),FALSE)))),FALSE)</f>
        <v>0</v>
      </c>
      <c r="I23" s="156" t="b">
        <f t="shared" ref="I23:I62" si="11">IFERROR(IF(AND(H23,OR(D23="NCOI",D23=0)),TRUE,FALSE),FALSE)</f>
        <v>0</v>
      </c>
      <c r="J23" s="156" t="b">
        <f>IFERROR(IF(AND(teacher_type="R",career_stage="P"),AND(COUNTIFS(RPS[Strand],$O23,RPS[QET],J$21)&gt;0,$G23),IF(AND(teacher_type="R",career_stage="HP"),AND(COUNTIFS(RHPS[Strand],$O23,RHPS[QET],J$21)&gt;0,$G23),IF(AND(teacher_type="TB",career_stage="P"),AND(COUNTIFS(TBPS[Strand],$O23,TBPS[QET],J$21)&gt;0,$G23),IF(AND(teacher_type="TB",career_stage="HP"),AND(COUNTIFS(TBHPS[Strand],$O23,TBHPS[QET],J$21)&gt;0,$G23),FALSE)))),FALSE)</f>
        <v>0</v>
      </c>
      <c r="K23" s="156" t="b">
        <f>IFERROR(IF(AND(teacher_type="R",career_stage="P"),AND(COUNTIFS(RPS[Strand],$O23,RPS[QET],K$21)&gt;0,$G23),IF(AND(teacher_type="R",career_stage="HP"),AND(COUNTIFS(RHPS[Strand],$O23,RHPS[QET],K$21)&gt;0,$G23),IF(AND(teacher_type="TB",career_stage="P"),AND(COUNTIFS(TBPS[Strand],$O23,TBPS[QET],K$21)&gt;0,$G23),IF(AND(teacher_type="TB",career_stage="HP"),AND(COUNTIFS(TBHPS[Strand],$O23,TBHPS[QET],K$21)&gt;0,$G23),FALSE)))),FALSE)</f>
        <v>0</v>
      </c>
      <c r="L23" s="156" t="b">
        <f t="shared" ref="L23:L62" si="12">AND(G23,D23="COI")</f>
        <v>0</v>
      </c>
      <c r="M23" s="165" t="str">
        <f t="shared" ref="M23:M62" si="13">IFERROR(IF($F23,$E23,""),"")</f>
        <v/>
      </c>
      <c r="N23" s="48" t="str">
        <f>IF($G23,COUNTIF($G$22:$G23,TRUE),"")</f>
        <v/>
      </c>
      <c r="O23" s="48" t="str" cm="1">
        <f t="array" ref="O23">IFERROR(IF(AND(teacher_type="R",career_stage="P"),INDEX(RPI[Strand],$B23),IF(AND(teacher_type="R",career_stage="HP"),INDEX(RHPI[Strand],$B23),IF(AND(teacher_type="TB",career_stage="P"),INDEX(TBPI[Strand],$B23),IF(AND(teacher_type="TB",career_stage="HP"),INDEX(TBHPI[Strand],$B23),"")))),"")</f>
        <v>1.2.2</v>
      </c>
      <c r="P23" s="166" t="str">
        <f>$C$23</f>
        <v>NCOI</v>
      </c>
      <c r="Q23" s="167">
        <f>IFERROR(IF(AND(teacher_type="R",career_stage="P"),VLOOKUP(O23,RPI[],COLUMNS(RPI[[Strand]:[Weight]]),FALSE), IF(AND(teacher_type="R",career_stage="HP"),VLOOKUP(O23,RHPI[],COLUMNS(RHPI[[Strand]:[Weight]]),FALSE), IF(AND(teacher_type="TB",career_stage="P"),VLOOKUP(O23,TBPI[],COLUMNS(TBPI[[Strand]:[Weight]]),FALSE), IF(AND(teacher_type="TB",career_stage="HP"),VLOOKUP(O23,TBHPI[],COLUMNS(TBHPI[[Strand]:[Weight]]),FALSE),0)))),0)</f>
        <v>0</v>
      </c>
      <c r="R23" s="179">
        <f>COUNTIFS($D$22:D23,"COI",$G$22:G23,TRUE)</f>
        <v>1</v>
      </c>
      <c r="S23" s="479"/>
      <c r="T23" s="411" t="str">
        <f>IFERROR(IF(LOWER(TRIM(S$20))=LOWER(TRIM(data2!$U$35)),"",IF(AND($G23,$D23="COI",S$12,CZ23),IF(OR(LOWER(TRIM(S$20))=LOWER(TRIM(data2!$U$36)),ISBLANK(S23)),1,IF(career_stage="P",VLOOKUP(S23,P_COT_vlookup,2,FALSE),IF(career_stage="HP",VLOOKUP(S23,HP_COT_vlookup,2,FALSE),""))),"")),"")</f>
        <v/>
      </c>
      <c r="U23" s="484"/>
      <c r="V23" s="170" t="str">
        <f>IFERROR(IF(LOWER(TRIM(U$20))=LOWER(TRIM(data2!$U$35)),"",IF(AND($G23,$D23="COI",U$12,DB23),IF(OR(LOWER(TRIM(U$20))=LOWER(TRIM(data2!$U$36)),ISBLANK(U23)),1,IF(career_stage="P",VLOOKUP(U23,P_COT_vlookup,2,FALSE),IF(career_stage="HP",VLOOKUP(U23,HP_COT_vlookup,2,FALSE),""))),"")),"")</f>
        <v/>
      </c>
      <c r="W23" s="483"/>
      <c r="X23" s="169" t="str">
        <f>IFERROR(IF(LOWER(TRIM(W$20))=LOWER(TRIM(data2!$U$35)),"",IF(AND($G23,$D23="COI",W$12,DD23),IF(OR(LOWER(TRIM(W$20))=LOWER(TRIM(data2!$U$36)),ISBLANK(W23)),1,IF(career_stage="P",VLOOKUP(W23,P_COT_vlookup,2,FALSE),IF(career_stage="HP",VLOOKUP(W23,HP_COT_vlookup,2,FALSE),""))),"")),"")</f>
        <v/>
      </c>
      <c r="Y23" s="489"/>
      <c r="Z23" s="170" t="str">
        <f>IFERROR(IF(LOWER(TRIM(Y$20))=LOWER(TRIM(data2!$U$35)),"",IF(AND($G23,$D23="COI",Y$12,DF23),IF(OR(LOWER(TRIM(Y$20))=LOWER(TRIM(data2!$U$36)),ISBLANK(Y23)),1,IF(career_stage="P",VLOOKUP(Y23,P_COT_vlookup,2,FALSE),IF(career_stage="HP",VLOOKUP(Y23,HP_COT_vlookup,2,FALSE),""))),"")),"")</f>
        <v/>
      </c>
      <c r="AA23" s="171">
        <f t="shared" ref="AA23:AA62" si="14">IFERROR(IF(NOT($L23),0,ROUNDDOWN(SUM($T23,$V23,$X23,$Z23)/DJ23,3)),0)</f>
        <v>0</v>
      </c>
      <c r="AB23" s="471"/>
      <c r="AC23" s="473"/>
      <c r="AD23" s="473"/>
      <c r="AE23" s="49">
        <f t="shared" si="2"/>
        <v>0</v>
      </c>
      <c r="AF23" s="49">
        <f t="shared" si="3"/>
        <v>0</v>
      </c>
      <c r="AG23" s="172" t="str">
        <f t="shared" si="4"/>
        <v>Poor</v>
      </c>
      <c r="AI23" s="196" t="b">
        <f t="shared" si="5"/>
        <v>1</v>
      </c>
      <c r="AJ23" s="154" t="b">
        <v>1</v>
      </c>
      <c r="AK23" s="154" t="b">
        <v>1</v>
      </c>
      <c r="AL23" s="196" t="b">
        <f t="shared" ref="AL23:AR63" si="15">OR(NOT(S$14),NOT(BG23),AND(S$14,NOT(BG23)),AND(S$14,BG23,NOT(ISBLANK(S23))))</f>
        <v>1</v>
      </c>
      <c r="AM23" s="154" t="b">
        <v>1</v>
      </c>
      <c r="AN23" s="196" t="b">
        <f t="shared" si="15"/>
        <v>1</v>
      </c>
      <c r="AO23" s="154" t="b">
        <v>1</v>
      </c>
      <c r="AP23" s="196" t="b">
        <f t="shared" si="15"/>
        <v>1</v>
      </c>
      <c r="AQ23" s="154" t="b">
        <v>1</v>
      </c>
      <c r="AR23" s="196" t="b">
        <f t="shared" si="15"/>
        <v>1</v>
      </c>
      <c r="AS23" s="154" t="b">
        <v>1</v>
      </c>
      <c r="AT23" s="154" t="b">
        <v>1</v>
      </c>
      <c r="AU23" s="196" t="b">
        <f t="shared" si="6"/>
        <v>1</v>
      </c>
      <c r="AV23" s="196" t="b">
        <f t="shared" si="7"/>
        <v>1</v>
      </c>
      <c r="AW23" s="196" t="b">
        <f t="shared" si="8"/>
        <v>1</v>
      </c>
      <c r="AX23" s="47" t="b">
        <v>1</v>
      </c>
      <c r="AY23" s="47" t="b">
        <v>1</v>
      </c>
      <c r="AZ23" s="47" t="b">
        <v>1</v>
      </c>
      <c r="BF23" s="154" t="str">
        <f t="shared" si="9"/>
        <v>1.2.2</v>
      </c>
      <c r="BG23" s="196" t="b" cm="1">
        <f t="array" ref="BG23">IFERROR(IF(OR(LOWER(TRIM(S$20))=LOWER(TRIM(data2!$U$35)),LOWER(TRIM(S$20))=LOWER(TRIM(data2!$U$36))),FALSE,AND(S$12,IF(AND($G23,$D23="COI"),
IF(AND(teacher_type="R",career_stage="P"),VLOOKUP($BF23,RPI[],COLUMN(RPI[cot1]),FALSE),
IF(AND(teacher_type="R",career_stage="HP"),VLOOKUP($BF23,RHPI[],COLUMN(RHPI[cot1]),FALSE),
IF(AND(teacher_type="TB",career_stage="P"),VLOOKUP($BF23,TBPI[],COLUMN(TBPI[cot1]),FALSE),
IF(AND(teacher_type="TB",career_stage="HP"),VLOOKUP($BF23,TBHPI[],COLUMN(TBHPI[cot1]),FALSE),FALSE)))),
FALSE))),FALSE)</f>
        <v>0</v>
      </c>
      <c r="BH23" s="154" t="b">
        <v>0</v>
      </c>
      <c r="BI23" s="196" t="b" cm="1">
        <f t="array" ref="BI23">IFERROR(IF(OR(LOWER(TRIM(U$20))=LOWER(TRIM(data2!$U$35)),LOWER(TRIM(U$20))=LOWER(TRIM(data2!$U$36))),FALSE,AND(U$12,IF(AND($G23,$D23="COI"),
IF(AND(teacher_type="R",career_stage="P"),VLOOKUP($BF23,RPI[],COLUMN(RPI[cot2]),FALSE),
IF(AND(teacher_type="R",career_stage="HP"),VLOOKUP($BF23,RHPI[],COLUMN(RHPI[cot2]),FALSE),
IF(AND(teacher_type="TB",career_stage="P"),VLOOKUP($BF23,TBPI[],COLUMN(TBPI[cot2]),FALSE),
IF(AND(teacher_type="TB",career_stage="HP"),VLOOKUP($BF23,TBHPI[],COLUMN(TBHPI[cot2]),FALSE),FALSE)))),
FALSE))),FALSE)</f>
        <v>0</v>
      </c>
      <c r="BJ23" s="154" t="b">
        <v>0</v>
      </c>
      <c r="BK23" s="196" t="b" cm="1">
        <f t="array" ref="BK23">IFERROR(IF(OR(LOWER(TRIM(W$20))=LOWER(TRIM(data2!$U$35)),LOWER(TRIM(W$20))=LOWER(TRIM(data2!$U$36))),FALSE,AND(W$12,IF(AND($G23,$D23="COI"),
IF(AND(teacher_type="R",career_stage="P"),VLOOKUP($BF23,RPI[],COLUMN(RPI[cot3]),FALSE),
IF(AND(teacher_type="R",career_stage="HP"),VLOOKUP($BF23,RHPI[],COLUMN(RHPI[cot3]),FALSE),
IF(AND(teacher_type="TB",career_stage="P"),VLOOKUP($BF23,TBPI[],COLUMN(TBPI[cot3]),FALSE),
IF(AND(teacher_type="TB",career_stage="HP"),VLOOKUP($BF23,TBHPI[],COLUMN(TBHPI[cot3]),FALSE),FALSE)))),
FALSE))),FALSE)</f>
        <v>0</v>
      </c>
      <c r="BL23" s="154" t="b">
        <v>0</v>
      </c>
      <c r="BM23" s="196" t="b" cm="1">
        <f t="array" ref="BM23">IFERROR(IF(OR(LOWER(TRIM(Y$20))=LOWER(TRIM(data2!$U$35)),LOWER(TRIM(Y$20))=LOWER(TRIM(data2!$U$36))),FALSE,AND(Y$12,IF(AND($G23,$D23="COI"),
IF(AND(teacher_type="R",career_stage="P"),VLOOKUP($BF23,RPI[],COLUMN(RPI[cot4]),FALSE),
IF(AND(teacher_type="R",career_stage="HP"),VLOOKUP($BF23,RHPI[],COLUMN(RHPI[cot4]),FALSE),
IF(AND(teacher_type="TB",career_stage="P"),VLOOKUP($BF23,TBPI[],COLUMN(TBPI[cot4]),FALSE),
IF(AND(teacher_type="TB",career_stage="HP"),VLOOKUP($BF23,TBHPI[],COLUMN(TBHPI[cot4]),FALSE),FALSE)))),
FALSE))),FALSE)</f>
        <v>0</v>
      </c>
      <c r="BN23" s="154" t="b">
        <v>0</v>
      </c>
      <c r="BO23" s="150">
        <f t="shared" ref="BO23:BO62" si="16">COUNTIF(BG23:BN23,TRUE)</f>
        <v>0</v>
      </c>
      <c r="BP23" s="196" t="b">
        <f t="shared" ref="BP23:BP62" si="17">AND($G23, NOT(BG23),$D23="COI",S$12)</f>
        <v>0</v>
      </c>
      <c r="BQ23" s="196" t="b">
        <f>IFERROR(IF(OR(NOT(CZ23),LOWER(TRIM(S$20))=LOWER(TRIM(data2!$U$35))),TRUE,IF(AND(CZ23,LOWER(TRIM(S$20))=LOWER(TRIM(data2!$U$36))),FALSE)),FALSE)</f>
        <v>1</v>
      </c>
      <c r="BR23" s="196" t="b">
        <f t="shared" ref="BR23:BR62" si="18">AND($G23, NOT(BI23),$D23="COI",U$12)</f>
        <v>0</v>
      </c>
      <c r="BS23" s="196" t="b">
        <f>IFERROR(IF(OR(NOT(DB23),LOWER(TRIM(U$20))=LOWER(TRIM(data2!$U$35))),TRUE,IF(AND(DB23,LOWER(TRIM(U$20))=LOWER(TRIM(data2!$U$36))),FALSE)),FALSE)</f>
        <v>1</v>
      </c>
      <c r="BT23" s="196" t="b">
        <f t="shared" ref="BT23:BT62" si="19">AND($G23, NOT(BK23),$D23="COI",W$12)</f>
        <v>0</v>
      </c>
      <c r="BU23" s="196" t="b">
        <f>IFERROR(IF(OR(NOT(DD23),LOWER(TRIM(W$20))=LOWER(TRIM(data2!$U$35))),TRUE,IF(AND(DD23,LOWER(TRIM(W$20))=LOWER(TRIM(data2!$U$36))),FALSE)),FALSE)</f>
        <v>1</v>
      </c>
      <c r="BV23" s="196" t="b">
        <f t="shared" ref="BV23:BV62" si="20">AND($G23, NOT(BM23),$D23="COI",Y$12)</f>
        <v>0</v>
      </c>
      <c r="BW23" s="196" t="b">
        <f>IFERROR(IF(OR(NOT(DF23),LOWER(TRIM(Y$20))=LOWER(TRIM(data2!$U$35))),TRUE,IF(AND(DF23,LOWER(TRIM(Y$20))=LOWER(TRIM(data2!$U$36))),FALSE)),FALSE)</f>
        <v>1</v>
      </c>
      <c r="BY23" s="154" t="str">
        <f t="shared" ref="BY23:BY62" si="21">IF(AND($G23,I23),$BF23&amp;"-"&amp;BY$21&amp;"-"&amp;$D23,"")</f>
        <v/>
      </c>
      <c r="BZ23" s="154" t="str">
        <f t="shared" ref="BZ23:BZ62" si="22">IF(AND($G23,J23),$BF23&amp;"-"&amp;BZ$21&amp;"-"&amp;$D23,"")</f>
        <v/>
      </c>
      <c r="CA23" s="154" t="str">
        <f t="shared" ref="CA23:CA62" si="23">IF(AND($G23,K23),$BF23&amp;"-"&amp;CA$21&amp;"-"&amp;$D23,"")</f>
        <v/>
      </c>
      <c r="CB23" s="154" t="str">
        <f t="shared" ref="CB23:CB62" si="24">"CE" &amp; ROW() &amp; ":CI" &amp; ROW()</f>
        <v>CE23:CI23</v>
      </c>
      <c r="CC23" s="154" t="str">
        <f t="shared" ref="CC23:CC62" si="25">"CK" &amp; ROW() &amp; ":CO" &amp; ROW()</f>
        <v>CK23:CO23</v>
      </c>
      <c r="CD23" s="154" t="str">
        <f t="shared" ref="CD23:CD62" si="26">"CQ" &amp; ROW() &amp; ":CU" &amp; ROW()</f>
        <v>CQ23:CU23</v>
      </c>
      <c r="CE23" s="359" cm="1">
        <f t="array" ref="CE23">IFERROR(IF($BY23&lt;&gt;"",
IF(AND(teacher_type="R",career_stage="P"),
    IF(INDEX(RPS[[Outstanding]:[Poor]],MATCH($BY23,RPS[[helper]:[helper]],0),CE$19)&lt;&gt;"",CE$20,""),
IF(AND(teacher_type="R",career_stage="HP"),
    IF(INDEX(RHPS[[Outstanding]:[Poor]],MATCH($BY23,RHPS[[helper]:[helper]],0),CE$19)&lt;&gt;"",CE$20,""),
IF(AND(teacher_type="TB",career_stage="P"),
    IF(INDEX(TBPS[[Outstanding]:[Poor]],MATCH($BY23,TBPS[[helper]:[helper]],0),CE$19)&lt;&gt;"",CE$20,""),
IF(AND(teacher_type="TB",career_stage="HP"),
    IF(INDEX(TBHPS[[Outstanding]:[Poor]],MATCH($BY23,TBHPS[[helper]:[helper]],0),CE$19)&lt;&gt;"",CE$20,""),
CE$20)))),
CE$20),CE$20)</f>
        <v>5</v>
      </c>
      <c r="CF23" s="359" cm="1">
        <f t="array" ref="CF23">IFERROR(IF($BY23&lt;&gt;"",
IF(AND(teacher_type="R",career_stage="P"),
    IF(INDEX(RPS[[Outstanding]:[Poor]],MATCH($BY23,RPS[[helper]:[helper]],0),CF$19)&lt;&gt;"",CF$20,""),
IF(AND(teacher_type="R",career_stage="HP"),
    IF(INDEX(RHPS[[Outstanding]:[Poor]],MATCH($BY23,RHPS[[helper]:[helper]],0),CF$19)&lt;&gt;"",CF$20,""),
IF(AND(teacher_type="TB",career_stage="P"),
    IF(INDEX(TBPS[[Outstanding]:[Poor]],MATCH($BY23,TBPS[[helper]:[helper]],0),CF$19)&lt;&gt;"",CF$20,""),
IF(AND(teacher_type="TB",career_stage="HP"),
    IF(INDEX(TBHPS[[Outstanding]:[Poor]],MATCH($BY23,TBHPS[[helper]:[helper]],0),CF$19)&lt;&gt;"",CF$20,""),
CF$20)))),
CF$20),CF$20)</f>
        <v>4</v>
      </c>
      <c r="CG23" s="359" cm="1">
        <f t="array" ref="CG23">IFERROR(IF($BY23&lt;&gt;"",
IF(AND(teacher_type="R",career_stage="P"),
    IF(INDEX(RPS[[Outstanding]:[Poor]],MATCH($BY23,RPS[[helper]:[helper]],0),CG$19)&lt;&gt;"",CG$20,""),
IF(AND(teacher_type="R",career_stage="HP"),
    IF(INDEX(RHPS[[Outstanding]:[Poor]],MATCH($BY23,RHPS[[helper]:[helper]],0),CG$19)&lt;&gt;"",CG$20,""),
IF(AND(teacher_type="TB",career_stage="P"),
    IF(INDEX(TBPS[[Outstanding]:[Poor]],MATCH($BY23,TBPS[[helper]:[helper]],0),CG$19)&lt;&gt;"",CG$20,""),
IF(AND(teacher_type="TB",career_stage="HP"),
    IF(INDEX(TBHPS[[Outstanding]:[Poor]],MATCH($BY23,TBHPS[[helper]:[helper]],0),CG$19)&lt;&gt;"",CG$20,""),
CG$20)))),
CG$20),CG$20)</f>
        <v>3</v>
      </c>
      <c r="CH23" s="359" cm="1">
        <f t="array" ref="CH23">IFERROR(IF($BY23&lt;&gt;"",
IF(AND(teacher_type="R",career_stage="P"),
    IF(INDEX(RPS[[Outstanding]:[Poor]],MATCH($BY23,RPS[[helper]:[helper]],0),CH$19)&lt;&gt;"",CH$20,""),
IF(AND(teacher_type="R",career_stage="HP"),
    IF(INDEX(RHPS[[Outstanding]:[Poor]],MATCH($BY23,RHPS[[helper]:[helper]],0),CH$19)&lt;&gt;"",CH$20,""),
IF(AND(teacher_type="TB",career_stage="P"),
    IF(INDEX(TBPS[[Outstanding]:[Poor]],MATCH($BY23,TBPS[[helper]:[helper]],0),CH$19)&lt;&gt;"",CH$20,""),
IF(AND(teacher_type="TB",career_stage="HP"),
    IF(INDEX(TBHPS[[Outstanding]:[Poor]],MATCH($BY23,TBHPS[[helper]:[helper]],0),CH$19)&lt;&gt;"",CH$20,""),
CH$20)))),
CH$20),CH$20)</f>
        <v>2</v>
      </c>
      <c r="CI23" s="359" cm="1">
        <f t="array" ref="CI23">IFERROR(IF($BY23&lt;&gt;"",
IF(AND(teacher_type="R",career_stage="P"),
    IF(INDEX(RPS[[Outstanding]:[Poor]],MATCH($BY23,RPS[[helper]:[helper]],0),CI$19)&lt;&gt;"",CI$20,""),
IF(AND(teacher_type="R",career_stage="HP"),
    IF(INDEX(RHPS[[Outstanding]:[Poor]],MATCH($BY23,RHPS[[helper]:[helper]],0),CI$19)&lt;&gt;"",CI$20,""),
IF(AND(teacher_type="TB",career_stage="P"),
    IF(INDEX(TBPS[[Outstanding]:[Poor]],MATCH($BY23,TBPS[[helper]:[helper]],0),CI$19)&lt;&gt;"",CI$20,""),
IF(AND(teacher_type="TB",career_stage="HP"),
    IF(INDEX(TBHPS[[Outstanding]:[Poor]],MATCH($BY23,TBHPS[[helper]:[helper]],0),CI$19)&lt;&gt;"",CI$20,""),
CI$20)))),
CI$20),CI$20)</f>
        <v>1</v>
      </c>
      <c r="CJ23" s="360">
        <f t="shared" ref="CJ23:CJ62" si="27">COUNT(CE23:CI23)</f>
        <v>5</v>
      </c>
      <c r="CK23" s="359" cm="1">
        <f t="array" ref="CK23">IFERROR(IF($BZ23&lt;&gt;"",
IF(AND(teacher_type="R",career_stage="P"),
    IF(INDEX(RPS[[Outstanding]:[Poor]],MATCH($BZ23,RPS[[helper]:[helper]],0),CK$19)&lt;&gt;"",CK$20,""),
IF(AND(teacher_type="R",career_stage="HP"),
    IF(INDEX(RHPS[[Outstanding]:[Poor]],MATCH($BZ23,RHPS[[helper]:[helper]],0),CK$19)&lt;&gt;"",CK$20,""),
IF(AND(teacher_type="TB",career_stage="P"),
    IF(INDEX(TBPS[[Outstanding]:[Poor]],MATCH($BZ23,TBPS[[helper]:[helper]],0),CK$19)&lt;&gt;"",CK$20,""),
IF(AND(teacher_type="TB",career_stage="HP"),
    IF(INDEX(TBHPS[[Outstanding]:[Poor]],MATCH($BZ23,TBHPS[[helper]:[helper]],0),CK$19)&lt;&gt;"",CK$20,""),
CK$20)))),
CK$20),CK$20)</f>
        <v>5</v>
      </c>
      <c r="CL23" s="359" cm="1">
        <f t="array" ref="CL23">IFERROR(IF($BZ23&lt;&gt;"",
IF(AND(teacher_type="R",career_stage="P"),
    IF(INDEX(RPS[[Outstanding]:[Poor]],MATCH($BZ23,RPS[[helper]:[helper]],0),CL$19)&lt;&gt;"",CL$20,""),
IF(AND(teacher_type="R",career_stage="HP"),
    IF(INDEX(RHPS[[Outstanding]:[Poor]],MATCH($BZ23,RHPS[[helper]:[helper]],0),CL$19)&lt;&gt;"",CL$20,""),
IF(AND(teacher_type="TB",career_stage="P"),
    IF(INDEX(TBPS[[Outstanding]:[Poor]],MATCH($BZ23,TBPS[[helper]:[helper]],0),CL$19)&lt;&gt;"",CL$20,""),
IF(AND(teacher_type="TB",career_stage="HP"),
    IF(INDEX(TBHPS[[Outstanding]:[Poor]],MATCH($BZ23,TBHPS[[helper]:[helper]],0),CL$19)&lt;&gt;"",CL$20,""),
CL$20)))),
CL$20),CL$20)</f>
        <v>4</v>
      </c>
      <c r="CM23" s="359" cm="1">
        <f t="array" ref="CM23">IFERROR(IF($BZ23&lt;&gt;"",
IF(AND(teacher_type="R",career_stage="P"),
    IF(INDEX(RPS[[Outstanding]:[Poor]],MATCH($BZ23,RPS[[helper]:[helper]],0),CM$19)&lt;&gt;"",CM$20,""),
IF(AND(teacher_type="R",career_stage="HP"),
    IF(INDEX(RHPS[[Outstanding]:[Poor]],MATCH($BZ23,RHPS[[helper]:[helper]],0),CM$19)&lt;&gt;"",CM$20,""),
IF(AND(teacher_type="TB",career_stage="P"),
    IF(INDEX(TBPS[[Outstanding]:[Poor]],MATCH($BZ23,TBPS[[helper]:[helper]],0),CM$19)&lt;&gt;"",CM$20,""),
IF(AND(teacher_type="TB",career_stage="HP"),
    IF(INDEX(TBHPS[[Outstanding]:[Poor]],MATCH($BZ23,TBHPS[[helper]:[helper]],0),CM$19)&lt;&gt;"",CM$20,""),
CM$20)))),
CM$20),CM$20)</f>
        <v>3</v>
      </c>
      <c r="CN23" s="359" cm="1">
        <f t="array" ref="CN23">IFERROR(IF($BZ23&lt;&gt;"",
IF(AND(teacher_type="R",career_stage="P"),
    IF(INDEX(RPS[[Outstanding]:[Poor]],MATCH($BZ23,RPS[[helper]:[helper]],0),CN$19)&lt;&gt;"",CN$20,""),
IF(AND(teacher_type="R",career_stage="HP"),
    IF(INDEX(RHPS[[Outstanding]:[Poor]],MATCH($BZ23,RHPS[[helper]:[helper]],0),CN$19)&lt;&gt;"",CN$20,""),
IF(AND(teacher_type="TB",career_stage="P"),
    IF(INDEX(TBPS[[Outstanding]:[Poor]],MATCH($BZ23,TBPS[[helper]:[helper]],0),CN$19)&lt;&gt;"",CN$20,""),
IF(AND(teacher_type="TB",career_stage="HP"),
    IF(INDEX(TBHPS[[Outstanding]:[Poor]],MATCH($BZ23,TBHPS[[helper]:[helper]],0),CN$19)&lt;&gt;"",CN$20,""),
CN$20)))),
CN$20),CN$20)</f>
        <v>2</v>
      </c>
      <c r="CO23" s="359" cm="1">
        <f t="array" ref="CO23">IFERROR(IF($BZ23&lt;&gt;"",
IF(AND(teacher_type="R",career_stage="P"),
    IF(INDEX(RPS[[Outstanding]:[Poor]],MATCH($BZ23,RPS[[helper]:[helper]],0),CO$19)&lt;&gt;"",CO$20,""),
IF(AND(teacher_type="R",career_stage="HP"),
    IF(INDEX(RHPS[[Outstanding]:[Poor]],MATCH($BZ23,RHPS[[helper]:[helper]],0),CO$19)&lt;&gt;"",CO$20,""),
IF(AND(teacher_type="TB",career_stage="P"),
    IF(INDEX(TBPS[[Outstanding]:[Poor]],MATCH($BZ23,TBPS[[helper]:[helper]],0),CO$19)&lt;&gt;"",CO$20,""),
IF(AND(teacher_type="TB",career_stage="HP"),
    IF(INDEX(TBHPS[[Outstanding]:[Poor]],MATCH($BZ23,TBHPS[[helper]:[helper]],0),CO$19)&lt;&gt;"",CO$20,""),
CO$20)))),
CO$20),CO$20)</f>
        <v>1</v>
      </c>
      <c r="CP23" s="360">
        <f t="shared" ref="CP23:CP62" si="28">COUNT(CK23:CO23)</f>
        <v>5</v>
      </c>
      <c r="CQ23" s="359" cm="1">
        <f t="array" ref="CQ23">IFERROR(IF($CA23&lt;&gt;"",
IF(AND(teacher_type="R",career_stage="P"),
    IF(INDEX(RPS[[Outstanding]:[Poor]],MATCH($CA23,RPS[[helper]:[helper]],0),CQ$19)&lt;&gt;"",CQ$20,""),
IF(AND(teacher_type="R",career_stage="HP"),
    IF(INDEX(RHPS[[Outstanding]:[Poor]],MATCH($CA23,RHPS[[helper]:[helper]],0),CQ$19)&lt;&gt;"",CQ$20,""),
IF(AND(teacher_type="TB",career_stage="P"),
    IF(INDEX(TBPS[[Outstanding]:[Poor]],MATCH($CA23,TBPS[[helper]:[helper]],0),CQ$19)&lt;&gt;"",CQ$20,""),
IF(AND(teacher_type="TB",career_stage="HP"),
    IF(INDEX(TBHPS[[Outstanding]:[Poor]],MATCH($CA23,TBHPS[[helper]:[helper]],0),CQ$19)&lt;&gt;"",CQ$20,""),
CQ$20)))),
CQ$20),CQ$20)</f>
        <v>5</v>
      </c>
      <c r="CR23" s="359" cm="1">
        <f t="array" ref="CR23">IFERROR(IF($CA23&lt;&gt;"",
IF(AND(teacher_type="R",career_stage="P"),
    IF(INDEX(RPS[[Outstanding]:[Poor]],MATCH($CA23,RPS[[helper]:[helper]],0),CR$19)&lt;&gt;"",CR$20,""),
IF(AND(teacher_type="R",career_stage="HP"),
    IF(INDEX(RHPS[[Outstanding]:[Poor]],MATCH($CA23,RHPS[[helper]:[helper]],0),CR$19)&lt;&gt;"",CR$20,""),
IF(AND(teacher_type="TB",career_stage="P"),
    IF(INDEX(TBPS[[Outstanding]:[Poor]],MATCH($CA23,TBPS[[helper]:[helper]],0),CR$19)&lt;&gt;"",CR$20,""),
IF(AND(teacher_type="TB",career_stage="HP"),
    IF(INDEX(TBHPS[[Outstanding]:[Poor]],MATCH($CA23,TBHPS[[helper]:[helper]],0),CR$19)&lt;&gt;"",CR$20,""),
CR$20)))),
CR$20),CR$20)</f>
        <v>4</v>
      </c>
      <c r="CS23" s="359" cm="1">
        <f t="array" ref="CS23">IFERROR(IF($CA23&lt;&gt;"",
IF(AND(teacher_type="R",career_stage="P"),
    IF(INDEX(RPS[[Outstanding]:[Poor]],MATCH($CA23,RPS[[helper]:[helper]],0),CS$19)&lt;&gt;"",CS$20,""),
IF(AND(teacher_type="R",career_stage="HP"),
    IF(INDEX(RHPS[[Outstanding]:[Poor]],MATCH($CA23,RHPS[[helper]:[helper]],0),CS$19)&lt;&gt;"",CS$20,""),
IF(AND(teacher_type="TB",career_stage="P"),
    IF(INDEX(TBPS[[Outstanding]:[Poor]],MATCH($CA23,TBPS[[helper]:[helper]],0),CS$19)&lt;&gt;"",CS$20,""),
IF(AND(teacher_type="TB",career_stage="HP"),
    IF(INDEX(TBHPS[[Outstanding]:[Poor]],MATCH($CA23,TBHPS[[helper]:[helper]],0),CS$19)&lt;&gt;"",CS$20,""),
CS$20)))),
CS$20),CS$20)</f>
        <v>3</v>
      </c>
      <c r="CT23" s="359" cm="1">
        <f t="array" ref="CT23">IFERROR(IF($CA23&lt;&gt;"",
IF(AND(teacher_type="R",career_stage="P"),
    IF(INDEX(RPS[[Outstanding]:[Poor]],MATCH($CA23,RPS[[helper]:[helper]],0),CT$19)&lt;&gt;"",CT$20,""),
IF(AND(teacher_type="R",career_stage="HP"),
    IF(INDEX(RHPS[[Outstanding]:[Poor]],MATCH($CA23,RHPS[[helper]:[helper]],0),CT$19)&lt;&gt;"",CT$20,""),
IF(AND(teacher_type="TB",career_stage="P"),
    IF(INDEX(TBPS[[Outstanding]:[Poor]],MATCH($CA23,TBPS[[helper]:[helper]],0),CT$19)&lt;&gt;"",CT$20,""),
IF(AND(teacher_type="TB",career_stage="HP"),
    IF(INDEX(TBHPS[[Outstanding]:[Poor]],MATCH($CA23,TBHPS[[helper]:[helper]],0),CT$19)&lt;&gt;"",CT$20,""),
CT$20)))),
CT$20),CT$20)</f>
        <v>2</v>
      </c>
      <c r="CU23" s="359" cm="1">
        <f t="array" ref="CU23">IFERROR(IF($CA23&lt;&gt;"",
IF(AND(teacher_type="R",career_stage="P"),
    IF(INDEX(RPS[[Outstanding]:[Poor]],MATCH($CA23,RPS[[helper]:[helper]],0),CU$19)&lt;&gt;"",CU$20,""),
IF(AND(teacher_type="R",career_stage="HP"),
    IF(INDEX(RHPS[[Outstanding]:[Poor]],MATCH($CA23,RHPS[[helper]:[helper]],0),CU$19)&lt;&gt;"",CU$20,""),
IF(AND(teacher_type="TB",career_stage="P"),
    IF(INDEX(TBPS[[Outstanding]:[Poor]],MATCH($CA23,TBPS[[helper]:[helper]],0),CU$19)&lt;&gt;"",CU$20,""),
IF(AND(teacher_type="TB",career_stage="HP"),
    IF(INDEX(TBHPS[[Outstanding]:[Poor]],MATCH($CA23,TBHPS[[helper]:[helper]],0),CU$19)&lt;&gt;"",CU$20,""),
CU$20)))),
CU$20),CU$20)</f>
        <v>1</v>
      </c>
      <c r="CV23" s="360">
        <f t="shared" ref="CV23:CV62" si="29">COUNT(CQ23:CU23)</f>
        <v>5</v>
      </c>
      <c r="CY23" s="443" t="b" cm="1">
        <f t="array" ref="CY23">IFERROR(AND(S$12,IF(AND($G23,$D23="COI"),
IF(AND(teacher_type="R",career_stage="P"),VLOOKUP($BF23,RPI[],COLUMN(RPI[cot1]),FALSE),
IF(AND(teacher_type="R",career_stage="HP"),VLOOKUP($BF23,RHPI[],COLUMN(RHPI[cot1]),FALSE),
IF(AND(teacher_type="TB",career_stage="P"),VLOOKUP($BF23,TBPI[],COLUMN(TBPI[cot1]),FALSE),
IF(AND(teacher_type="TB",career_stage="HP"),VLOOKUP($BF23,TBHPI[],COLUMN(TBHPI[cot1]),FALSE),FALSE)))),
FALSE)),FALSE)</f>
        <v>0</v>
      </c>
      <c r="CZ23" s="443" t="b">
        <f t="shared" ref="CZ23:CZ62" si="30">CY23</f>
        <v>0</v>
      </c>
      <c r="DA23" s="443" t="b" cm="1">
        <f t="array" ref="DA23">IFERROR(AND(U$12,IF(AND($G23,$D23="COI"),
IF(AND(teacher_type="R",career_stage="P"),VLOOKUP($BF23,RPI[],COLUMN(RPI[cot2]),FALSE),
IF(AND(teacher_type="R",career_stage="HP"),VLOOKUP($BF23,RHPI[],COLUMN(RHPI[cot2]),FALSE),
IF(AND(teacher_type="TB",career_stage="P"),VLOOKUP($BF23,TBPI[],COLUMN(TBPI[cot2]),FALSE),
IF(AND(teacher_type="TB",career_stage="HP"),VLOOKUP($BF23,TBHPI[],COLUMN(TBHPI[cot2]),FALSE),FALSE)))),
FALSE)),FALSE)</f>
        <v>0</v>
      </c>
      <c r="DB23" s="443" t="b">
        <f t="shared" ref="DB23:DB62" si="31">DA23</f>
        <v>0</v>
      </c>
      <c r="DC23" s="443" t="b" cm="1">
        <f t="array" ref="DC23">IFERROR(AND(W$12,IF(AND($G23,$D23="COI"),
IF(AND(teacher_type="R",career_stage="P"),VLOOKUP($BF23,RPI[],COLUMN(RPI[cot3]),FALSE),
IF(AND(teacher_type="R",career_stage="HP"),VLOOKUP($BF23,RHPI[],COLUMN(RHPI[cot3]),FALSE),
IF(AND(teacher_type="TB",career_stage="P"),VLOOKUP($BF23,TBPI[],COLUMN(TBPI[cot3]),FALSE),
IF(AND(teacher_type="TB",career_stage="HP"),VLOOKUP($BF23,TBHPI[],COLUMN(TBHPI[cot3]),FALSE),FALSE)))),
FALSE)),FALSE)</f>
        <v>0</v>
      </c>
      <c r="DD23" s="443" t="b">
        <f t="shared" ref="DD23:DD62" si="32">DC23</f>
        <v>0</v>
      </c>
      <c r="DE23" s="443" t="b" cm="1">
        <f t="array" ref="DE23">IFERROR(AND(Y$12,IF(AND($G23,$D23="COI"),
IF(AND(teacher_type="R",career_stage="P"),VLOOKUP($BF23,RPI[],COLUMN(RPI[cot4]),FALSE),
IF(AND(teacher_type="R",career_stage="HP"),VLOOKUP($BF23,RHPI[],COLUMN(RHPI[cot4]),FALSE),
IF(AND(teacher_type="TB",career_stage="P"),VLOOKUP($BF23,TBPI[],COLUMN(TBPI[cot4]),FALSE),
IF(AND(teacher_type="TB",career_stage="HP"),VLOOKUP($BF23,TBHPI[],COLUMN(TBHPI[cot4]),FALSE),FALSE)))),
FALSE)),FALSE)</f>
        <v>0</v>
      </c>
      <c r="DF23" s="443" t="b">
        <f t="shared" ref="DF23:DF62" si="33">DE23</f>
        <v>0</v>
      </c>
      <c r="DG23" s="150">
        <f t="shared" ref="DG23:DG62" si="34">COUNTIF(CY23,TRUE)+COUNTIF(DA23,TRUE)+COUNTIF(DC23,TRUE)+COUNTIF(DE23,TRUE)</f>
        <v>0</v>
      </c>
      <c r="DH23" s="154">
        <f>IF(AND(CY23,LOWER(TRIM(S$20))=LOWER(TRIM(data2!$U$35))),1,0) +
IF(AND(DA23,LOWER(TRIM(U$20))=LOWER(TRIM(data2!$U$35))),1,0) +
IF(AND(DC23,LOWER(TRIM(W$20))=LOWER(TRIM(data2!$U$35))),1,0) +
IF(AND(DE23,LOWER(TRIM(Y$20))=LOWER(TRIM(data2!$U$35))),1,0)</f>
        <v>0</v>
      </c>
      <c r="DJ23" s="154">
        <f t="shared" ref="DJ23:DJ62" si="35">DG23-DH23</f>
        <v>0</v>
      </c>
    </row>
    <row r="24" spans="1:116" s="154" customFormat="1" ht="24.95" hidden="1" customHeight="1" x14ac:dyDescent="0.25">
      <c r="A24" s="156"/>
      <c r="B24" s="154">
        <v>3</v>
      </c>
      <c r="C24" s="150" t="str">
        <f>IFERROR(IF(AND(teacher_type="R",career_stage="P"),VLOOKUP(O24,RPI[],COLUMNS(RPI[[Strand]:[admin_selected_coi_ncoi]]),FALSE),IF(AND(teacher_type="R",career_stage="HP"),VLOOKUP(O24,RHPI[],COLUMNS(RHPI[[Strand]:[admin_selected_coi_ncoi]]),FALSE),IF(AND(teacher_type="TB",career_stage="P"),VLOOKUP(O24,TBPI[],COLUMNS(TBPI[[Strand]:[admin_selected_coi_ncoi]]),FALSE),IF(AND(teacher_type="TB",career_stage="HP"),VLOOKUP(O24,TBHPI[],COLUMNS(TBHPI[[Strand]:[admin_selected_coi_ncoi]]),FALSE),"NCOI")))),"NCOI")</f>
        <v>NCOI</v>
      </c>
      <c r="D24" s="150" t="str">
        <f t="shared" si="10"/>
        <v/>
      </c>
      <c r="E24" s="150">
        <f>IFERROR(IF(AND(teacher_type="R",career_stage="P"),VLOOKUP($O24,RPI[[Strand]:[Domain]],COLUMNS(RPI[[Strand]:[Domain]]),FALSE),IF(AND(teacher_type="R",career_stage="HP"),VLOOKUP($O24,RHPI[[Strand]:[Domain]],COLUMNS(RHPI[[Strand]:[Domain]]),FALSE),IF(AND(teacher_type="TB",career_stage="P"),VLOOKUP($O24,TBPI[[Strand]:[Domain]],COLUMNS(TBPI[[Strand]:[Domain]]),FALSE),IF(AND(teacher_type="TB",career_stage="HP"),VLOOKUP($O24,TBHPI[[Strand]:[Domain]],COLUMNS(TBHPI[[Strand]:[Domain]]),FALSE),"")))),"")</f>
        <v>1</v>
      </c>
      <c r="F24" s="155" t="b">
        <f>AND(COUNTIFS($E$22:$E24,E24,$G$22:$G24,TRUE)=1,$G24)</f>
        <v>0</v>
      </c>
      <c r="G24" s="212" t="b">
        <f>IFERROR(IF(AND(teacher_type="R",career_stage="P"),VLOOKUP($O24,RPI[],COLUMNS(RPI[[Strand]:[Selected]]),FALSE),IF(AND(teacher_type="R",career_stage="HP"),VLOOKUP($O24,RHPI[],COLUMNS(RHPI[[Strand]:[Selected]]),FALSE),IF(AND(teacher_type="TB",career_stage="P"),VLOOKUP($O24,TBPI[],COLUMNS(TBPI[[Strand]:[Selected]]),FALSE),IF(AND(teacher_type="TB",career_stage="HP"),VLOOKUP($O24,TBHPI[],COLUMNS(TBHPI[[Strand]:[Selected]]),FALSE),FALSE)))),FALSE)</f>
        <v>0</v>
      </c>
      <c r="H24" s="156" t="b">
        <f>IFERROR(IF(AND(teacher_type="R",career_stage="P"),AND(COUNTIFS(RPS[Strand],$O24,RPS[QET],H$21)&gt;0,$G24),IF(AND(teacher_type="R",career_stage="HP"),AND(COUNTIFS(RHPS[Strand],$O24,RHPS[QET],H$21)&gt;0,$G24),IF(AND(teacher_type="TB",career_stage="P"),AND(COUNTIFS(TBPS[Strand],$O24,TBPS[QET],H$21)&gt;0,$G24),IF(AND(teacher_type="TB",career_stage="HP"),AND(COUNTIFS(TBHPS[Strand],$O24,TBHPS[QET],H$21)&gt;0,$G24),FALSE)))),FALSE)</f>
        <v>0</v>
      </c>
      <c r="I24" s="156" t="b">
        <f t="shared" si="11"/>
        <v>0</v>
      </c>
      <c r="J24" s="156" t="b">
        <f>IFERROR(IF(AND(teacher_type="R",career_stage="P"),AND(COUNTIFS(RPS[Strand],$O24,RPS[QET],J$21)&gt;0,$G24),IF(AND(teacher_type="R",career_stage="HP"),AND(COUNTIFS(RHPS[Strand],$O24,RHPS[QET],J$21)&gt;0,$G24),IF(AND(teacher_type="TB",career_stage="P"),AND(COUNTIFS(TBPS[Strand],$O24,TBPS[QET],J$21)&gt;0,$G24),IF(AND(teacher_type="TB",career_stage="HP"),AND(COUNTIFS(TBHPS[Strand],$O24,TBHPS[QET],J$21)&gt;0,$G24),FALSE)))),FALSE)</f>
        <v>0</v>
      </c>
      <c r="K24" s="156" t="b">
        <f>IFERROR(IF(AND(teacher_type="R",career_stage="P"),AND(COUNTIFS(RPS[Strand],$O24,RPS[QET],K$21)&gt;0,$G24),IF(AND(teacher_type="R",career_stage="HP"),AND(COUNTIFS(RHPS[Strand],$O24,RHPS[QET],K$21)&gt;0,$G24),IF(AND(teacher_type="TB",career_stage="P"),AND(COUNTIFS(TBPS[Strand],$O24,TBPS[QET],K$21)&gt;0,$G24),IF(AND(teacher_type="TB",career_stage="HP"),AND(COUNTIFS(TBHPS[Strand],$O24,TBHPS[QET],K$21)&gt;0,$G24),FALSE)))),FALSE)</f>
        <v>0</v>
      </c>
      <c r="L24" s="156" t="b">
        <f t="shared" si="12"/>
        <v>0</v>
      </c>
      <c r="M24" s="165" t="str">
        <f t="shared" si="13"/>
        <v/>
      </c>
      <c r="N24" s="48" t="str">
        <f>IF($G24,COUNTIF($G$22:$G24,TRUE),"")</f>
        <v/>
      </c>
      <c r="O24" s="48" t="str" cm="1">
        <f t="array" ref="O24">IFERROR(IF(AND(teacher_type="R",career_stage="P"),INDEX(RPI[Strand],$B24),IF(AND(teacher_type="R",career_stage="HP"),INDEX(RHPI[Strand],$B24),IF(AND(teacher_type="TB",career_stage="P"),INDEX(TBPI[Strand],$B24),IF(AND(teacher_type="TB",career_stage="HP"),INDEX(TBHPI[Strand],$B24),"")))),"")</f>
        <v>1.3.2</v>
      </c>
      <c r="P24" s="166" t="str">
        <f>$C$24</f>
        <v>NCOI</v>
      </c>
      <c r="Q24" s="167">
        <f>IFERROR(IF(AND(teacher_type="R",career_stage="P"),VLOOKUP(O24,RPI[],COLUMNS(RPI[[Strand]:[Weight]]),FALSE), IF(AND(teacher_type="R",career_stage="HP"),VLOOKUP(O24,RHPI[],COLUMNS(RHPI[[Strand]:[Weight]]),FALSE), IF(AND(teacher_type="TB",career_stage="P"),VLOOKUP(O24,TBPI[],COLUMNS(TBPI[[Strand]:[Weight]]),FALSE), IF(AND(teacher_type="TB",career_stage="HP"),VLOOKUP(O24,TBHPI[],COLUMNS(TBHPI[[Strand]:[Weight]]),FALSE),0)))),0)</f>
        <v>0</v>
      </c>
      <c r="R24" s="179">
        <f>COUNTIFS($D$22:D24,"COI",$G$22:G24,TRUE)</f>
        <v>1</v>
      </c>
      <c r="S24" s="480"/>
      <c r="T24" s="416" t="str">
        <f>IFERROR(IF(LOWER(TRIM(S$20))=LOWER(TRIM(data2!$U$35)),"",IF(AND($G24,$D24="COI",S$12,CZ24),IF(OR(LOWER(TRIM(S$20))=LOWER(TRIM(data2!$U$36)),ISBLANK(S24)),1,IF(career_stage="P",VLOOKUP(S24,P_COT_vlookup,2,FALSE),IF(career_stage="HP",VLOOKUP(S24,HP_COT_vlookup,2,FALSE),""))),"")),"")</f>
        <v/>
      </c>
      <c r="U24" s="484"/>
      <c r="V24" s="170" t="str">
        <f>IFERROR(IF(LOWER(TRIM(U$20))=LOWER(TRIM(data2!$U$35)),"",IF(AND($G24,$D24="COI",U$12,DB24),IF(OR(LOWER(TRIM(U$20))=LOWER(TRIM(data2!$U$36)),ISBLANK(U24)),1,IF(career_stage="P",VLOOKUP(U24,P_COT_vlookup,2,FALSE),IF(career_stage="HP",VLOOKUP(U24,HP_COT_vlookup,2,FALSE),""))),"")),"")</f>
        <v/>
      </c>
      <c r="W24" s="483"/>
      <c r="X24" s="169" t="str">
        <f>IFERROR(IF(LOWER(TRIM(W$20))=LOWER(TRIM(data2!$U$35)),"",IF(AND($G24,$D24="COI",W$12,DD24),IF(OR(LOWER(TRIM(W$20))=LOWER(TRIM(data2!$U$36)),ISBLANK(W24)),1,IF(career_stage="P",VLOOKUP(W24,P_COT_vlookup,2,FALSE),IF(career_stage="HP",VLOOKUP(W24,HP_COT_vlookup,2,FALSE),""))),"")),"")</f>
        <v/>
      </c>
      <c r="Y24" s="489"/>
      <c r="Z24" s="170" t="str">
        <f>IFERROR(IF(LOWER(TRIM(Y$20))=LOWER(TRIM(data2!$U$35)),"",IF(AND($G24,$D24="COI",Y$12,DF24),IF(OR(LOWER(TRIM(Y$20))=LOWER(TRIM(data2!$U$36)),ISBLANK(Y24)),1,IF(career_stage="P",VLOOKUP(Y24,P_COT_vlookup,2,FALSE),IF(career_stage="HP",VLOOKUP(Y24,HP_COT_vlookup,2,FALSE),""))),"")),"")</f>
        <v/>
      </c>
      <c r="AA24" s="171">
        <f t="shared" si="14"/>
        <v>0</v>
      </c>
      <c r="AB24" s="471"/>
      <c r="AC24" s="473"/>
      <c r="AD24" s="473"/>
      <c r="AE24" s="49">
        <f t="shared" si="2"/>
        <v>0</v>
      </c>
      <c r="AF24" s="49">
        <f t="shared" si="3"/>
        <v>0</v>
      </c>
      <c r="AG24" s="172" t="str">
        <f t="shared" si="4"/>
        <v>Poor</v>
      </c>
      <c r="AI24" s="196" t="b">
        <f t="shared" si="5"/>
        <v>1</v>
      </c>
      <c r="AJ24" s="154" t="b">
        <v>1</v>
      </c>
      <c r="AK24" s="154" t="b">
        <v>1</v>
      </c>
      <c r="AL24" s="196" t="b">
        <f t="shared" si="15"/>
        <v>1</v>
      </c>
      <c r="AM24" s="154" t="b">
        <v>1</v>
      </c>
      <c r="AN24" s="196" t="b">
        <f t="shared" si="15"/>
        <v>1</v>
      </c>
      <c r="AO24" s="154" t="b">
        <v>1</v>
      </c>
      <c r="AP24" s="196" t="b">
        <f t="shared" si="15"/>
        <v>1</v>
      </c>
      <c r="AQ24" s="154" t="b">
        <v>1</v>
      </c>
      <c r="AR24" s="196" t="b">
        <f t="shared" si="15"/>
        <v>1</v>
      </c>
      <c r="AS24" s="154" t="b">
        <v>1</v>
      </c>
      <c r="AT24" s="154" t="b">
        <v>1</v>
      </c>
      <c r="AU24" s="196" t="b">
        <f t="shared" si="6"/>
        <v>1</v>
      </c>
      <c r="AV24" s="196" t="b">
        <f t="shared" si="7"/>
        <v>1</v>
      </c>
      <c r="AW24" s="196" t="b">
        <f t="shared" si="8"/>
        <v>1</v>
      </c>
      <c r="AX24" s="47" t="b">
        <v>1</v>
      </c>
      <c r="AY24" s="47" t="b">
        <v>1</v>
      </c>
      <c r="AZ24" s="47" t="b">
        <v>1</v>
      </c>
      <c r="BF24" s="154" t="str">
        <f t="shared" si="9"/>
        <v>1.3.2</v>
      </c>
      <c r="BG24" s="196" t="b" cm="1">
        <f t="array" ref="BG24">IFERROR(IF(OR(LOWER(TRIM(S$20))=LOWER(TRIM(data2!$U$35)),LOWER(TRIM(S$20))=LOWER(TRIM(data2!$U$36))),FALSE,AND(S$12,IF(AND($G24,$D24="COI"),
IF(AND(teacher_type="R",career_stage="P"),VLOOKUP($BF24,RPI[],COLUMN(RPI[cot1]),FALSE),
IF(AND(teacher_type="R",career_stage="HP"),VLOOKUP($BF24,RHPI[],COLUMN(RHPI[cot1]),FALSE),
IF(AND(teacher_type="TB",career_stage="P"),VLOOKUP($BF24,TBPI[],COLUMN(TBPI[cot1]),FALSE),
IF(AND(teacher_type="TB",career_stage="HP"),VLOOKUP($BF24,TBHPI[],COLUMN(TBHPI[cot1]),FALSE),FALSE)))),
FALSE))),FALSE)</f>
        <v>0</v>
      </c>
      <c r="BH24" s="154" t="b">
        <v>0</v>
      </c>
      <c r="BI24" s="196" t="b" cm="1">
        <f t="array" ref="BI24">IFERROR(IF(OR(LOWER(TRIM(U$20))=LOWER(TRIM(data2!$U$35)),LOWER(TRIM(U$20))=LOWER(TRIM(data2!$U$36))),FALSE,AND(U$12,IF(AND($G24,$D24="COI"),
IF(AND(teacher_type="R",career_stage="P"),VLOOKUP($BF24,RPI[],COLUMN(RPI[cot2]),FALSE),
IF(AND(teacher_type="R",career_stage="HP"),VLOOKUP($BF24,RHPI[],COLUMN(RHPI[cot2]),FALSE),
IF(AND(teacher_type="TB",career_stage="P"),VLOOKUP($BF24,TBPI[],COLUMN(TBPI[cot2]),FALSE),
IF(AND(teacher_type="TB",career_stage="HP"),VLOOKUP($BF24,TBHPI[],COLUMN(TBHPI[cot2]),FALSE),FALSE)))),
FALSE))),FALSE)</f>
        <v>0</v>
      </c>
      <c r="BJ24" s="154" t="b">
        <v>0</v>
      </c>
      <c r="BK24" s="196" t="b" cm="1">
        <f t="array" ref="BK24">IFERROR(IF(OR(LOWER(TRIM(W$20))=LOWER(TRIM(data2!$U$35)),LOWER(TRIM(W$20))=LOWER(TRIM(data2!$U$36))),FALSE,AND(W$12,IF(AND($G24,$D24="COI"),
IF(AND(teacher_type="R",career_stage="P"),VLOOKUP($BF24,RPI[],COLUMN(RPI[cot3]),FALSE),
IF(AND(teacher_type="R",career_stage="HP"),VLOOKUP($BF24,RHPI[],COLUMN(RHPI[cot3]),FALSE),
IF(AND(teacher_type="TB",career_stage="P"),VLOOKUP($BF24,TBPI[],COLUMN(TBPI[cot3]),FALSE),
IF(AND(teacher_type="TB",career_stage="HP"),VLOOKUP($BF24,TBHPI[],COLUMN(TBHPI[cot3]),FALSE),FALSE)))),
FALSE))),FALSE)</f>
        <v>0</v>
      </c>
      <c r="BL24" s="154" t="b">
        <v>0</v>
      </c>
      <c r="BM24" s="196" t="b" cm="1">
        <f t="array" ref="BM24">IFERROR(IF(OR(LOWER(TRIM(Y$20))=LOWER(TRIM(data2!$U$35)),LOWER(TRIM(Y$20))=LOWER(TRIM(data2!$U$36))),FALSE,AND(Y$12,IF(AND($G24,$D24="COI"),
IF(AND(teacher_type="R",career_stage="P"),VLOOKUP($BF24,RPI[],COLUMN(RPI[cot4]),FALSE),
IF(AND(teacher_type="R",career_stage="HP"),VLOOKUP($BF24,RHPI[],COLUMN(RHPI[cot4]),FALSE),
IF(AND(teacher_type="TB",career_stage="P"),VLOOKUP($BF24,TBPI[],COLUMN(TBPI[cot4]),FALSE),
IF(AND(teacher_type="TB",career_stage="HP"),VLOOKUP($BF24,TBHPI[],COLUMN(TBHPI[cot4]),FALSE),FALSE)))),
FALSE))),FALSE)</f>
        <v>0</v>
      </c>
      <c r="BN24" s="154" t="b">
        <v>0</v>
      </c>
      <c r="BO24" s="150">
        <f t="shared" si="16"/>
        <v>0</v>
      </c>
      <c r="BP24" s="196" t="b">
        <f t="shared" si="17"/>
        <v>0</v>
      </c>
      <c r="BQ24" s="196" t="b">
        <f>IFERROR(IF(OR(NOT(CZ24),LOWER(TRIM(S$20))=LOWER(TRIM(data2!$U$35))),TRUE,IF(AND(CZ24,LOWER(TRIM(S$20))=LOWER(TRIM(data2!$U$36))),FALSE)),FALSE)</f>
        <v>1</v>
      </c>
      <c r="BR24" s="196" t="b">
        <f t="shared" si="18"/>
        <v>0</v>
      </c>
      <c r="BS24" s="196" t="b">
        <f>IFERROR(IF(OR(NOT(DB24),LOWER(TRIM(U$20))=LOWER(TRIM(data2!$U$35))),TRUE,IF(AND(DB24,LOWER(TRIM(U$20))=LOWER(TRIM(data2!$U$36))),FALSE)),FALSE)</f>
        <v>1</v>
      </c>
      <c r="BT24" s="196" t="b">
        <f t="shared" si="19"/>
        <v>0</v>
      </c>
      <c r="BU24" s="196" t="b">
        <f>IFERROR(IF(OR(NOT(DD24),LOWER(TRIM(W$20))=LOWER(TRIM(data2!$U$35))),TRUE,IF(AND(DD24,LOWER(TRIM(W$20))=LOWER(TRIM(data2!$U$36))),FALSE)),FALSE)</f>
        <v>1</v>
      </c>
      <c r="BV24" s="196" t="b">
        <f t="shared" si="20"/>
        <v>0</v>
      </c>
      <c r="BW24" s="196" t="b">
        <f>IFERROR(IF(OR(NOT(DF24),LOWER(TRIM(Y$20))=LOWER(TRIM(data2!$U$35))),TRUE,IF(AND(DF24,LOWER(TRIM(Y$20))=LOWER(TRIM(data2!$U$36))),FALSE)),FALSE)</f>
        <v>1</v>
      </c>
      <c r="BY24" s="154" t="str">
        <f t="shared" si="21"/>
        <v/>
      </c>
      <c r="BZ24" s="154" t="str">
        <f t="shared" si="22"/>
        <v/>
      </c>
      <c r="CA24" s="154" t="str">
        <f t="shared" si="23"/>
        <v/>
      </c>
      <c r="CB24" s="154" t="str">
        <f t="shared" si="24"/>
        <v>CE24:CI24</v>
      </c>
      <c r="CC24" s="154" t="str">
        <f t="shared" si="25"/>
        <v>CK24:CO24</v>
      </c>
      <c r="CD24" s="154" t="str">
        <f t="shared" si="26"/>
        <v>CQ24:CU24</v>
      </c>
      <c r="CE24" s="359" cm="1">
        <f t="array" ref="CE24">IFERROR(IF($BY24&lt;&gt;"",
IF(AND(teacher_type="R",career_stage="P"),
    IF(INDEX(RPS[[Outstanding]:[Poor]],MATCH($BY24,RPS[[helper]:[helper]],0),CE$19)&lt;&gt;"",CE$20,""),
IF(AND(teacher_type="R",career_stage="HP"),
    IF(INDEX(RHPS[[Outstanding]:[Poor]],MATCH($BY24,RHPS[[helper]:[helper]],0),CE$19)&lt;&gt;"",CE$20,""),
IF(AND(teacher_type="TB",career_stage="P"),
    IF(INDEX(TBPS[[Outstanding]:[Poor]],MATCH($BY24,TBPS[[helper]:[helper]],0),CE$19)&lt;&gt;"",CE$20,""),
IF(AND(teacher_type="TB",career_stage="HP"),
    IF(INDEX(TBHPS[[Outstanding]:[Poor]],MATCH($BY24,TBHPS[[helper]:[helper]],0),CE$19)&lt;&gt;"",CE$20,""),
CE$20)))),
CE$20),CE$20)</f>
        <v>5</v>
      </c>
      <c r="CF24" s="359" cm="1">
        <f t="array" ref="CF24">IFERROR(IF($BY24&lt;&gt;"",
IF(AND(teacher_type="R",career_stage="P"),
    IF(INDEX(RPS[[Outstanding]:[Poor]],MATCH($BY24,RPS[[helper]:[helper]],0),CF$19)&lt;&gt;"",CF$20,""),
IF(AND(teacher_type="R",career_stage="HP"),
    IF(INDEX(RHPS[[Outstanding]:[Poor]],MATCH($BY24,RHPS[[helper]:[helper]],0),CF$19)&lt;&gt;"",CF$20,""),
IF(AND(teacher_type="TB",career_stage="P"),
    IF(INDEX(TBPS[[Outstanding]:[Poor]],MATCH($BY24,TBPS[[helper]:[helper]],0),CF$19)&lt;&gt;"",CF$20,""),
IF(AND(teacher_type="TB",career_stage="HP"),
    IF(INDEX(TBHPS[[Outstanding]:[Poor]],MATCH($BY24,TBHPS[[helper]:[helper]],0),CF$19)&lt;&gt;"",CF$20,""),
CF$20)))),
CF$20),CF$20)</f>
        <v>4</v>
      </c>
      <c r="CG24" s="359" cm="1">
        <f t="array" ref="CG24">IFERROR(IF($BY24&lt;&gt;"",
IF(AND(teacher_type="R",career_stage="P"),
    IF(INDEX(RPS[[Outstanding]:[Poor]],MATCH($BY24,RPS[[helper]:[helper]],0),CG$19)&lt;&gt;"",CG$20,""),
IF(AND(teacher_type="R",career_stage="HP"),
    IF(INDEX(RHPS[[Outstanding]:[Poor]],MATCH($BY24,RHPS[[helper]:[helper]],0),CG$19)&lt;&gt;"",CG$20,""),
IF(AND(teacher_type="TB",career_stage="P"),
    IF(INDEX(TBPS[[Outstanding]:[Poor]],MATCH($BY24,TBPS[[helper]:[helper]],0),CG$19)&lt;&gt;"",CG$20,""),
IF(AND(teacher_type="TB",career_stage="HP"),
    IF(INDEX(TBHPS[[Outstanding]:[Poor]],MATCH($BY24,TBHPS[[helper]:[helper]],0),CG$19)&lt;&gt;"",CG$20,""),
CG$20)))),
CG$20),CG$20)</f>
        <v>3</v>
      </c>
      <c r="CH24" s="359" cm="1">
        <f t="array" ref="CH24">IFERROR(IF($BY24&lt;&gt;"",
IF(AND(teacher_type="R",career_stage="P"),
    IF(INDEX(RPS[[Outstanding]:[Poor]],MATCH($BY24,RPS[[helper]:[helper]],0),CH$19)&lt;&gt;"",CH$20,""),
IF(AND(teacher_type="R",career_stage="HP"),
    IF(INDEX(RHPS[[Outstanding]:[Poor]],MATCH($BY24,RHPS[[helper]:[helper]],0),CH$19)&lt;&gt;"",CH$20,""),
IF(AND(teacher_type="TB",career_stage="P"),
    IF(INDEX(TBPS[[Outstanding]:[Poor]],MATCH($BY24,TBPS[[helper]:[helper]],0),CH$19)&lt;&gt;"",CH$20,""),
IF(AND(teacher_type="TB",career_stage="HP"),
    IF(INDEX(TBHPS[[Outstanding]:[Poor]],MATCH($BY24,TBHPS[[helper]:[helper]],0),CH$19)&lt;&gt;"",CH$20,""),
CH$20)))),
CH$20),CH$20)</f>
        <v>2</v>
      </c>
      <c r="CI24" s="359" cm="1">
        <f t="array" ref="CI24">IFERROR(IF($BY24&lt;&gt;"",
IF(AND(teacher_type="R",career_stage="P"),
    IF(INDEX(RPS[[Outstanding]:[Poor]],MATCH($BY24,RPS[[helper]:[helper]],0),CI$19)&lt;&gt;"",CI$20,""),
IF(AND(teacher_type="R",career_stage="HP"),
    IF(INDEX(RHPS[[Outstanding]:[Poor]],MATCH($BY24,RHPS[[helper]:[helper]],0),CI$19)&lt;&gt;"",CI$20,""),
IF(AND(teacher_type="TB",career_stage="P"),
    IF(INDEX(TBPS[[Outstanding]:[Poor]],MATCH($BY24,TBPS[[helper]:[helper]],0),CI$19)&lt;&gt;"",CI$20,""),
IF(AND(teacher_type="TB",career_stage="HP"),
    IF(INDEX(TBHPS[[Outstanding]:[Poor]],MATCH($BY24,TBHPS[[helper]:[helper]],0),CI$19)&lt;&gt;"",CI$20,""),
CI$20)))),
CI$20),CI$20)</f>
        <v>1</v>
      </c>
      <c r="CJ24" s="360">
        <f t="shared" si="27"/>
        <v>5</v>
      </c>
      <c r="CK24" s="359" cm="1">
        <f t="array" ref="CK24">IFERROR(IF($BZ24&lt;&gt;"",
IF(AND(teacher_type="R",career_stage="P"),
    IF(INDEX(RPS[[Outstanding]:[Poor]],MATCH($BZ24,RPS[[helper]:[helper]],0),CK$19)&lt;&gt;"",CK$20,""),
IF(AND(teacher_type="R",career_stage="HP"),
    IF(INDEX(RHPS[[Outstanding]:[Poor]],MATCH($BZ24,RHPS[[helper]:[helper]],0),CK$19)&lt;&gt;"",CK$20,""),
IF(AND(teacher_type="TB",career_stage="P"),
    IF(INDEX(TBPS[[Outstanding]:[Poor]],MATCH($BZ24,TBPS[[helper]:[helper]],0),CK$19)&lt;&gt;"",CK$20,""),
IF(AND(teacher_type="TB",career_stage="HP"),
    IF(INDEX(TBHPS[[Outstanding]:[Poor]],MATCH($BZ24,TBHPS[[helper]:[helper]],0),CK$19)&lt;&gt;"",CK$20,""),
CK$20)))),
CK$20),CK$20)</f>
        <v>5</v>
      </c>
      <c r="CL24" s="359" cm="1">
        <f t="array" ref="CL24">IFERROR(IF($BZ24&lt;&gt;"",
IF(AND(teacher_type="R",career_stage="P"),
    IF(INDEX(RPS[[Outstanding]:[Poor]],MATCH($BZ24,RPS[[helper]:[helper]],0),CL$19)&lt;&gt;"",CL$20,""),
IF(AND(teacher_type="R",career_stage="HP"),
    IF(INDEX(RHPS[[Outstanding]:[Poor]],MATCH($BZ24,RHPS[[helper]:[helper]],0),CL$19)&lt;&gt;"",CL$20,""),
IF(AND(teacher_type="TB",career_stage="P"),
    IF(INDEX(TBPS[[Outstanding]:[Poor]],MATCH($BZ24,TBPS[[helper]:[helper]],0),CL$19)&lt;&gt;"",CL$20,""),
IF(AND(teacher_type="TB",career_stage="HP"),
    IF(INDEX(TBHPS[[Outstanding]:[Poor]],MATCH($BZ24,TBHPS[[helper]:[helper]],0),CL$19)&lt;&gt;"",CL$20,""),
CL$20)))),
CL$20),CL$20)</f>
        <v>4</v>
      </c>
      <c r="CM24" s="359" cm="1">
        <f t="array" ref="CM24">IFERROR(IF($BZ24&lt;&gt;"",
IF(AND(teacher_type="R",career_stage="P"),
    IF(INDEX(RPS[[Outstanding]:[Poor]],MATCH($BZ24,RPS[[helper]:[helper]],0),CM$19)&lt;&gt;"",CM$20,""),
IF(AND(teacher_type="R",career_stage="HP"),
    IF(INDEX(RHPS[[Outstanding]:[Poor]],MATCH($BZ24,RHPS[[helper]:[helper]],0),CM$19)&lt;&gt;"",CM$20,""),
IF(AND(teacher_type="TB",career_stage="P"),
    IF(INDEX(TBPS[[Outstanding]:[Poor]],MATCH($BZ24,TBPS[[helper]:[helper]],0),CM$19)&lt;&gt;"",CM$20,""),
IF(AND(teacher_type="TB",career_stage="HP"),
    IF(INDEX(TBHPS[[Outstanding]:[Poor]],MATCH($BZ24,TBHPS[[helper]:[helper]],0),CM$19)&lt;&gt;"",CM$20,""),
CM$20)))),
CM$20),CM$20)</f>
        <v>3</v>
      </c>
      <c r="CN24" s="359" cm="1">
        <f t="array" ref="CN24">IFERROR(IF($BZ24&lt;&gt;"",
IF(AND(teacher_type="R",career_stage="P"),
    IF(INDEX(RPS[[Outstanding]:[Poor]],MATCH($BZ24,RPS[[helper]:[helper]],0),CN$19)&lt;&gt;"",CN$20,""),
IF(AND(teacher_type="R",career_stage="HP"),
    IF(INDEX(RHPS[[Outstanding]:[Poor]],MATCH($BZ24,RHPS[[helper]:[helper]],0),CN$19)&lt;&gt;"",CN$20,""),
IF(AND(teacher_type="TB",career_stage="P"),
    IF(INDEX(TBPS[[Outstanding]:[Poor]],MATCH($BZ24,TBPS[[helper]:[helper]],0),CN$19)&lt;&gt;"",CN$20,""),
IF(AND(teacher_type="TB",career_stage="HP"),
    IF(INDEX(TBHPS[[Outstanding]:[Poor]],MATCH($BZ24,TBHPS[[helper]:[helper]],0),CN$19)&lt;&gt;"",CN$20,""),
CN$20)))),
CN$20),CN$20)</f>
        <v>2</v>
      </c>
      <c r="CO24" s="359" cm="1">
        <f t="array" ref="CO24">IFERROR(IF($BZ24&lt;&gt;"",
IF(AND(teacher_type="R",career_stage="P"),
    IF(INDEX(RPS[[Outstanding]:[Poor]],MATCH($BZ24,RPS[[helper]:[helper]],0),CO$19)&lt;&gt;"",CO$20,""),
IF(AND(teacher_type="R",career_stage="HP"),
    IF(INDEX(RHPS[[Outstanding]:[Poor]],MATCH($BZ24,RHPS[[helper]:[helper]],0),CO$19)&lt;&gt;"",CO$20,""),
IF(AND(teacher_type="TB",career_stage="P"),
    IF(INDEX(TBPS[[Outstanding]:[Poor]],MATCH($BZ24,TBPS[[helper]:[helper]],0),CO$19)&lt;&gt;"",CO$20,""),
IF(AND(teacher_type="TB",career_stage="HP"),
    IF(INDEX(TBHPS[[Outstanding]:[Poor]],MATCH($BZ24,TBHPS[[helper]:[helper]],0),CO$19)&lt;&gt;"",CO$20,""),
CO$20)))),
CO$20),CO$20)</f>
        <v>1</v>
      </c>
      <c r="CP24" s="360">
        <f t="shared" si="28"/>
        <v>5</v>
      </c>
      <c r="CQ24" s="359" cm="1">
        <f t="array" ref="CQ24">IFERROR(IF($CA24&lt;&gt;"",
IF(AND(teacher_type="R",career_stage="P"),
    IF(INDEX(RPS[[Outstanding]:[Poor]],MATCH($CA24,RPS[[helper]:[helper]],0),CQ$19)&lt;&gt;"",CQ$20,""),
IF(AND(teacher_type="R",career_stage="HP"),
    IF(INDEX(RHPS[[Outstanding]:[Poor]],MATCH($CA24,RHPS[[helper]:[helper]],0),CQ$19)&lt;&gt;"",CQ$20,""),
IF(AND(teacher_type="TB",career_stage="P"),
    IF(INDEX(TBPS[[Outstanding]:[Poor]],MATCH($CA24,TBPS[[helper]:[helper]],0),CQ$19)&lt;&gt;"",CQ$20,""),
IF(AND(teacher_type="TB",career_stage="HP"),
    IF(INDEX(TBHPS[[Outstanding]:[Poor]],MATCH($CA24,TBHPS[[helper]:[helper]],0),CQ$19)&lt;&gt;"",CQ$20,""),
CQ$20)))),
CQ$20),CQ$20)</f>
        <v>5</v>
      </c>
      <c r="CR24" s="359" cm="1">
        <f t="array" ref="CR24">IFERROR(IF($CA24&lt;&gt;"",
IF(AND(teacher_type="R",career_stage="P"),
    IF(INDEX(RPS[[Outstanding]:[Poor]],MATCH($CA24,RPS[[helper]:[helper]],0),CR$19)&lt;&gt;"",CR$20,""),
IF(AND(teacher_type="R",career_stage="HP"),
    IF(INDEX(RHPS[[Outstanding]:[Poor]],MATCH($CA24,RHPS[[helper]:[helper]],0),CR$19)&lt;&gt;"",CR$20,""),
IF(AND(teacher_type="TB",career_stage="P"),
    IF(INDEX(TBPS[[Outstanding]:[Poor]],MATCH($CA24,TBPS[[helper]:[helper]],0),CR$19)&lt;&gt;"",CR$20,""),
IF(AND(teacher_type="TB",career_stage="HP"),
    IF(INDEX(TBHPS[[Outstanding]:[Poor]],MATCH($CA24,TBHPS[[helper]:[helper]],0),CR$19)&lt;&gt;"",CR$20,""),
CR$20)))),
CR$20),CR$20)</f>
        <v>4</v>
      </c>
      <c r="CS24" s="359" cm="1">
        <f t="array" ref="CS24">IFERROR(IF($CA24&lt;&gt;"",
IF(AND(teacher_type="R",career_stage="P"),
    IF(INDEX(RPS[[Outstanding]:[Poor]],MATCH($CA24,RPS[[helper]:[helper]],0),CS$19)&lt;&gt;"",CS$20,""),
IF(AND(teacher_type="R",career_stage="HP"),
    IF(INDEX(RHPS[[Outstanding]:[Poor]],MATCH($CA24,RHPS[[helper]:[helper]],0),CS$19)&lt;&gt;"",CS$20,""),
IF(AND(teacher_type="TB",career_stage="P"),
    IF(INDEX(TBPS[[Outstanding]:[Poor]],MATCH($CA24,TBPS[[helper]:[helper]],0),CS$19)&lt;&gt;"",CS$20,""),
IF(AND(teacher_type="TB",career_stage="HP"),
    IF(INDEX(TBHPS[[Outstanding]:[Poor]],MATCH($CA24,TBHPS[[helper]:[helper]],0),CS$19)&lt;&gt;"",CS$20,""),
CS$20)))),
CS$20),CS$20)</f>
        <v>3</v>
      </c>
      <c r="CT24" s="359" cm="1">
        <f t="array" ref="CT24">IFERROR(IF($CA24&lt;&gt;"",
IF(AND(teacher_type="R",career_stage="P"),
    IF(INDEX(RPS[[Outstanding]:[Poor]],MATCH($CA24,RPS[[helper]:[helper]],0),CT$19)&lt;&gt;"",CT$20,""),
IF(AND(teacher_type="R",career_stage="HP"),
    IF(INDEX(RHPS[[Outstanding]:[Poor]],MATCH($CA24,RHPS[[helper]:[helper]],0),CT$19)&lt;&gt;"",CT$20,""),
IF(AND(teacher_type="TB",career_stage="P"),
    IF(INDEX(TBPS[[Outstanding]:[Poor]],MATCH($CA24,TBPS[[helper]:[helper]],0),CT$19)&lt;&gt;"",CT$20,""),
IF(AND(teacher_type="TB",career_stage="HP"),
    IF(INDEX(TBHPS[[Outstanding]:[Poor]],MATCH($CA24,TBHPS[[helper]:[helper]],0),CT$19)&lt;&gt;"",CT$20,""),
CT$20)))),
CT$20),CT$20)</f>
        <v>2</v>
      </c>
      <c r="CU24" s="359" cm="1">
        <f t="array" ref="CU24">IFERROR(IF($CA24&lt;&gt;"",
IF(AND(teacher_type="R",career_stage="P"),
    IF(INDEX(RPS[[Outstanding]:[Poor]],MATCH($CA24,RPS[[helper]:[helper]],0),CU$19)&lt;&gt;"",CU$20,""),
IF(AND(teacher_type="R",career_stage="HP"),
    IF(INDEX(RHPS[[Outstanding]:[Poor]],MATCH($CA24,RHPS[[helper]:[helper]],0),CU$19)&lt;&gt;"",CU$20,""),
IF(AND(teacher_type="TB",career_stage="P"),
    IF(INDEX(TBPS[[Outstanding]:[Poor]],MATCH($CA24,TBPS[[helper]:[helper]],0),CU$19)&lt;&gt;"",CU$20,""),
IF(AND(teacher_type="TB",career_stage="HP"),
    IF(INDEX(TBHPS[[Outstanding]:[Poor]],MATCH($CA24,TBHPS[[helper]:[helper]],0),CU$19)&lt;&gt;"",CU$20,""),
CU$20)))),
CU$20),CU$20)</f>
        <v>1</v>
      </c>
      <c r="CV24" s="360">
        <f t="shared" si="29"/>
        <v>5</v>
      </c>
      <c r="CY24" s="443" t="b" cm="1">
        <f t="array" ref="CY24">IFERROR(AND(S$12,IF(AND($G24,$D24="COI"),
IF(AND(teacher_type="R",career_stage="P"),VLOOKUP($BF24,RPI[],COLUMN(RPI[cot1]),FALSE),
IF(AND(teacher_type="R",career_stage="HP"),VLOOKUP($BF24,RHPI[],COLUMN(RHPI[cot1]),FALSE),
IF(AND(teacher_type="TB",career_stage="P"),VLOOKUP($BF24,TBPI[],COLUMN(TBPI[cot1]),FALSE),
IF(AND(teacher_type="TB",career_stage="HP"),VLOOKUP($BF24,TBHPI[],COLUMN(TBHPI[cot1]),FALSE),FALSE)))),
FALSE)),FALSE)</f>
        <v>0</v>
      </c>
      <c r="CZ24" s="443" t="b">
        <f t="shared" si="30"/>
        <v>0</v>
      </c>
      <c r="DA24" s="443" t="b" cm="1">
        <f t="array" ref="DA24">IFERROR(AND(U$12,IF(AND($G24,$D24="COI"),
IF(AND(teacher_type="R",career_stage="P"),VLOOKUP($BF24,RPI[],COLUMN(RPI[cot2]),FALSE),
IF(AND(teacher_type="R",career_stage="HP"),VLOOKUP($BF24,RHPI[],COLUMN(RHPI[cot2]),FALSE),
IF(AND(teacher_type="TB",career_stage="P"),VLOOKUP($BF24,TBPI[],COLUMN(TBPI[cot2]),FALSE),
IF(AND(teacher_type="TB",career_stage="HP"),VLOOKUP($BF24,TBHPI[],COLUMN(TBHPI[cot2]),FALSE),FALSE)))),
FALSE)),FALSE)</f>
        <v>0</v>
      </c>
      <c r="DB24" s="443" t="b">
        <f t="shared" si="31"/>
        <v>0</v>
      </c>
      <c r="DC24" s="443" t="b" cm="1">
        <f t="array" ref="DC24">IFERROR(AND(W$12,IF(AND($G24,$D24="COI"),
IF(AND(teacher_type="R",career_stage="P"),VLOOKUP($BF24,RPI[],COLUMN(RPI[cot3]),FALSE),
IF(AND(teacher_type="R",career_stage="HP"),VLOOKUP($BF24,RHPI[],COLUMN(RHPI[cot3]),FALSE),
IF(AND(teacher_type="TB",career_stage="P"),VLOOKUP($BF24,TBPI[],COLUMN(TBPI[cot3]),FALSE),
IF(AND(teacher_type="TB",career_stage="HP"),VLOOKUP($BF24,TBHPI[],COLUMN(TBHPI[cot3]),FALSE),FALSE)))),
FALSE)),FALSE)</f>
        <v>0</v>
      </c>
      <c r="DD24" s="443" t="b">
        <f t="shared" si="32"/>
        <v>0</v>
      </c>
      <c r="DE24" s="443" t="b" cm="1">
        <f t="array" ref="DE24">IFERROR(AND(Y$12,IF(AND($G24,$D24="COI"),
IF(AND(teacher_type="R",career_stage="P"),VLOOKUP($BF24,RPI[],COLUMN(RPI[cot4]),FALSE),
IF(AND(teacher_type="R",career_stage="HP"),VLOOKUP($BF24,RHPI[],COLUMN(RHPI[cot4]),FALSE),
IF(AND(teacher_type="TB",career_stage="P"),VLOOKUP($BF24,TBPI[],COLUMN(TBPI[cot4]),FALSE),
IF(AND(teacher_type="TB",career_stage="HP"),VLOOKUP($BF24,TBHPI[],COLUMN(TBHPI[cot4]),FALSE),FALSE)))),
FALSE)),FALSE)</f>
        <v>0</v>
      </c>
      <c r="DF24" s="443" t="b">
        <f t="shared" si="33"/>
        <v>0</v>
      </c>
      <c r="DG24" s="150">
        <f t="shared" si="34"/>
        <v>0</v>
      </c>
      <c r="DH24" s="154">
        <f>IF(AND(CY24,LOWER(TRIM(S$20))=LOWER(TRIM(data2!$U$35))),1,0) +
IF(AND(DA24,LOWER(TRIM(U$20))=LOWER(TRIM(data2!$U$35))),1,0) +
IF(AND(DC24,LOWER(TRIM(W$20))=LOWER(TRIM(data2!$U$35))),1,0) +
IF(AND(DE24,LOWER(TRIM(Y$20))=LOWER(TRIM(data2!$U$35))),1,0)</f>
        <v>0</v>
      </c>
      <c r="DJ24" s="154">
        <f t="shared" si="35"/>
        <v>0</v>
      </c>
    </row>
    <row r="25" spans="1:116" s="154" customFormat="1" ht="24.95" customHeight="1" x14ac:dyDescent="0.25">
      <c r="A25" s="156"/>
      <c r="B25" s="154">
        <v>4</v>
      </c>
      <c r="C25" s="150" t="str">
        <f>IFERROR(IF(AND(teacher_type="R",career_stage="P"),VLOOKUP(O25,RPI[],COLUMNS(RPI[[Strand]:[admin_selected_coi_ncoi]]),FALSE),IF(AND(teacher_type="R",career_stage="HP"),VLOOKUP(O25,RHPI[],COLUMNS(RHPI[[Strand]:[admin_selected_coi_ncoi]]),FALSE),IF(AND(teacher_type="TB",career_stage="P"),VLOOKUP(O25,TBPI[],COLUMNS(TBPI[[Strand]:[admin_selected_coi_ncoi]]),FALSE),IF(AND(teacher_type="TB",career_stage="HP"),VLOOKUP(O25,TBHPI[],COLUMNS(TBHPI[[Strand]:[admin_selected_coi_ncoi]]),FALSE),"NCOI")))),"NCOI")</f>
        <v>COI</v>
      </c>
      <c r="D25" s="150" t="str">
        <f t="shared" si="10"/>
        <v>COI</v>
      </c>
      <c r="E25" s="150">
        <f>IFERROR(IF(AND(teacher_type="R",career_stage="P"),VLOOKUP($O25,RPI[[Strand]:[Domain]],COLUMNS(RPI[[Strand]:[Domain]]),FALSE),IF(AND(teacher_type="R",career_stage="HP"),VLOOKUP($O25,RHPI[[Strand]:[Domain]],COLUMNS(RHPI[[Strand]:[Domain]]),FALSE),IF(AND(teacher_type="TB",career_stage="P"),VLOOKUP($O25,TBPI[[Strand]:[Domain]],COLUMNS(TBPI[[Strand]:[Domain]]),FALSE),IF(AND(teacher_type="TB",career_stage="HP"),VLOOKUP($O25,TBHPI[[Strand]:[Domain]],COLUMNS(TBHPI[[Strand]:[Domain]]),FALSE),"")))),"")</f>
        <v>1</v>
      </c>
      <c r="F25" s="155" t="b">
        <f>AND(COUNTIFS($E$22:$E25,E25,$G$22:$G25,TRUE)=1,$G25)</f>
        <v>0</v>
      </c>
      <c r="G25" s="212" t="b">
        <f>IFERROR(IF(AND(teacher_type="R",career_stage="P"),VLOOKUP($O25,RPI[],COLUMNS(RPI[[Strand]:[Selected]]),FALSE),IF(AND(teacher_type="R",career_stage="HP"),VLOOKUP($O25,RHPI[],COLUMNS(RHPI[[Strand]:[Selected]]),FALSE),IF(AND(teacher_type="TB",career_stage="P"),VLOOKUP($O25,TBPI[],COLUMNS(TBPI[[Strand]:[Selected]]),FALSE),IF(AND(teacher_type="TB",career_stage="HP"),VLOOKUP($O25,TBHPI[],COLUMNS(TBHPI[[Strand]:[Selected]]),FALSE),FALSE)))),FALSE)</f>
        <v>1</v>
      </c>
      <c r="H25" s="156" t="b">
        <f>IFERROR(IF(AND(teacher_type="R",career_stage="P"),AND(COUNTIFS(RPS[Strand],$O25,RPS[QET],H$21)&gt;0,$G25),IF(AND(teacher_type="R",career_stage="HP"),AND(COUNTIFS(RHPS[Strand],$O25,RHPS[QET],H$21)&gt;0,$G25),IF(AND(teacher_type="TB",career_stage="P"),AND(COUNTIFS(TBPS[Strand],$O25,TBPS[QET],H$21)&gt;0,$G25),IF(AND(teacher_type="TB",career_stage="HP"),AND(COUNTIFS(TBHPS[Strand],$O25,TBHPS[QET],H$21)&gt;0,$G25),FALSE)))),FALSE)</f>
        <v>1</v>
      </c>
      <c r="I25" s="156" t="b">
        <f t="shared" si="11"/>
        <v>0</v>
      </c>
      <c r="J25" s="156" t="b">
        <f>IFERROR(IF(AND(teacher_type="R",career_stage="P"),AND(COUNTIFS(RPS[Strand],$O25,RPS[QET],J$21)&gt;0,$G25),IF(AND(teacher_type="R",career_stage="HP"),AND(COUNTIFS(RHPS[Strand],$O25,RHPS[QET],J$21)&gt;0,$G25),IF(AND(teacher_type="TB",career_stage="P"),AND(COUNTIFS(TBPS[Strand],$O25,TBPS[QET],J$21)&gt;0,$G25),IF(AND(teacher_type="TB",career_stage="HP"),AND(COUNTIFS(TBHPS[Strand],$O25,TBHPS[QET],J$21)&gt;0,$G25),FALSE)))),FALSE)</f>
        <v>1</v>
      </c>
      <c r="K25" s="156" t="b">
        <f>IFERROR(IF(AND(teacher_type="R",career_stage="P"),AND(COUNTIFS(RPS[Strand],$O25,RPS[QET],K$21)&gt;0,$G25),IF(AND(teacher_type="R",career_stage="HP"),AND(COUNTIFS(RHPS[Strand],$O25,RHPS[QET],K$21)&gt;0,$G25),IF(AND(teacher_type="TB",career_stage="P"),AND(COUNTIFS(TBPS[Strand],$O25,TBPS[QET],K$21)&gt;0,$G25),IF(AND(teacher_type="TB",career_stage="HP"),AND(COUNTIFS(TBHPS[Strand],$O25,TBHPS[QET],K$21)&gt;0,$G25),FALSE)))),FALSE)</f>
        <v>0</v>
      </c>
      <c r="L25" s="156" t="b">
        <f t="shared" si="12"/>
        <v>1</v>
      </c>
      <c r="M25" s="165" t="str">
        <f t="shared" si="13"/>
        <v/>
      </c>
      <c r="N25" s="48">
        <f>IF($G25,COUNTIF($G$22:$G25,TRUE),"")</f>
        <v>2</v>
      </c>
      <c r="O25" s="48" t="str" cm="1">
        <f t="array" ref="O25">IFERROR(IF(AND(teacher_type="R",career_stage="P"),INDEX(RPI[Strand],$B25),IF(AND(teacher_type="R",career_stage="HP"),INDEX(RHPI[Strand],$B25),IF(AND(teacher_type="TB",career_stage="P"),INDEX(TBPI[Strand],$B25),IF(AND(teacher_type="TB",career_stage="HP"),INDEX(TBHPI[Strand],$B25),"")))),"")</f>
        <v>1.4.2</v>
      </c>
      <c r="P25" s="166" t="str">
        <f>$C$25</f>
        <v>COI</v>
      </c>
      <c r="Q25" s="167">
        <f>IFERROR(IF(AND(teacher_type="R",career_stage="P"),VLOOKUP(O25,RPI[],COLUMNS(RPI[[Strand]:[Weight]]),FALSE), IF(AND(teacher_type="R",career_stage="HP"),VLOOKUP(O25,RHPI[],COLUMNS(RHPI[[Strand]:[Weight]]),FALSE), IF(AND(teacher_type="TB",career_stage="P"),VLOOKUP(O25,TBPI[],COLUMNS(TBPI[[Strand]:[Weight]]),FALSE), IF(AND(teacher_type="TB",career_stage="HP"),VLOOKUP(O25,TBHPI[],COLUMNS(TBHPI[[Strand]:[Weight]]),FALSE),0)))),0)</f>
        <v>7.0000000000000007E-2</v>
      </c>
      <c r="R25" s="179">
        <f>COUNTIFS($D$22:D25,"COI",$G$22:G25,TRUE)</f>
        <v>2</v>
      </c>
      <c r="S25" s="481">
        <v>7</v>
      </c>
      <c r="T25" s="417">
        <f>IFERROR(IF(LOWER(TRIM(S$20))=LOWER(TRIM(data2!$U$35)),"",IF(AND($G25,$D25="COI",S$12,CZ25),IF(OR(LOWER(TRIM(S$20))=LOWER(TRIM(data2!$U$36)),ISBLANK(S25)),1,IF(career_stage="P",VLOOKUP(S25,P_COT_vlookup,2,FALSE),IF(career_stage="HP",VLOOKUP(S25,HP_COT_vlookup,2,FALSE),""))),"")),"")</f>
        <v>5</v>
      </c>
      <c r="U25" s="487">
        <v>7</v>
      </c>
      <c r="V25" s="412">
        <f>IFERROR(IF(LOWER(TRIM(U$20))=LOWER(TRIM(data2!$U$35)),"",IF(AND($G25,$D25="COI",U$12,DB25),IF(OR(LOWER(TRIM(U$20))=LOWER(TRIM(data2!$U$36)),ISBLANK(U25)),1,IF(career_stage="P",VLOOKUP(U25,P_COT_vlookup,2,FALSE),IF(career_stage="HP",VLOOKUP(U25,HP_COT_vlookup,2,FALSE),""))),"")),"")</f>
        <v>5</v>
      </c>
      <c r="W25" s="490">
        <v>7</v>
      </c>
      <c r="X25" s="413">
        <f>IFERROR(IF(LOWER(TRIM(W$20))=LOWER(TRIM(data2!$U$35)),"",IF(AND($G25,$D25="COI",W$12,DD25),IF(OR(LOWER(TRIM(W$20))=LOWER(TRIM(data2!$U$36)),ISBLANK(W25)),1,IF(career_stage="P",VLOOKUP(W25,P_COT_vlookup,2,FALSE),IF(career_stage="HP",VLOOKUP(W25,HP_COT_vlookup,2,FALSE),""))),"")),"")</f>
        <v>5</v>
      </c>
      <c r="Y25" s="492">
        <v>7</v>
      </c>
      <c r="Z25" s="170">
        <f>IFERROR(IF(LOWER(TRIM(Y$20))=LOWER(TRIM(data2!$U$35)),"",IF(AND($G25,$D25="COI",Y$12,DF25),IF(OR(LOWER(TRIM(Y$20))=LOWER(TRIM(data2!$U$36)),ISBLANK(Y25)),1,IF(career_stage="P",VLOOKUP(Y25,P_COT_vlookup,2,FALSE),IF(career_stage="HP",VLOOKUP(Y25,HP_COT_vlookup,2,FALSE),""))),"")),"")</f>
        <v>5</v>
      </c>
      <c r="AA25" s="171">
        <f t="shared" si="14"/>
        <v>5</v>
      </c>
      <c r="AB25" s="471">
        <f>IFERROR(IF(NOT(L22),"",VLOOKUP(ROUNDDOWN($AA$25,3),rating_desc_vlookup,3,TRUE)),1)</f>
        <v>5</v>
      </c>
      <c r="AC25" s="462">
        <v>5</v>
      </c>
      <c r="AD25" s="473"/>
      <c r="AE25" s="49">
        <f t="shared" si="2"/>
        <v>5</v>
      </c>
      <c r="AF25" s="49">
        <f t="shared" si="3"/>
        <v>0.35</v>
      </c>
      <c r="AG25" s="172" t="str">
        <f t="shared" si="4"/>
        <v>Outstanding</v>
      </c>
      <c r="AI25" s="196" t="b">
        <f t="shared" si="5"/>
        <v>1</v>
      </c>
      <c r="AJ25" s="154" t="b">
        <v>1</v>
      </c>
      <c r="AK25" s="154" t="b">
        <v>1</v>
      </c>
      <c r="AL25" s="196" t="b">
        <f t="shared" si="15"/>
        <v>1</v>
      </c>
      <c r="AM25" s="154" t="b">
        <v>1</v>
      </c>
      <c r="AN25" s="196" t="b">
        <f t="shared" si="15"/>
        <v>1</v>
      </c>
      <c r="AO25" s="154" t="b">
        <v>1</v>
      </c>
      <c r="AP25" s="196" t="b">
        <f t="shared" si="15"/>
        <v>1</v>
      </c>
      <c r="AQ25" s="154" t="b">
        <v>1</v>
      </c>
      <c r="AR25" s="196" t="b">
        <f t="shared" si="15"/>
        <v>1</v>
      </c>
      <c r="AS25" s="154" t="b">
        <v>1</v>
      </c>
      <c r="AT25" s="154" t="b">
        <v>1</v>
      </c>
      <c r="AU25" s="196" t="b">
        <f t="shared" si="6"/>
        <v>1</v>
      </c>
      <c r="AV25" s="196" t="b">
        <f t="shared" si="7"/>
        <v>1</v>
      </c>
      <c r="AW25" s="196" t="b">
        <f t="shared" si="8"/>
        <v>1</v>
      </c>
      <c r="AX25" s="47" t="b">
        <v>1</v>
      </c>
      <c r="AY25" s="47" t="b">
        <v>1</v>
      </c>
      <c r="AZ25" s="47" t="b">
        <v>1</v>
      </c>
      <c r="BF25" s="154" t="str">
        <f t="shared" si="9"/>
        <v>1.4.2</v>
      </c>
      <c r="BG25" s="196" t="b" cm="1">
        <f t="array" ref="BG25">IFERROR(IF(OR(LOWER(TRIM(S$20))=LOWER(TRIM(data2!$U$35)),LOWER(TRIM(S$20))=LOWER(TRIM(data2!$U$36))),FALSE,AND(S$12,IF(AND($G25,$D25="COI"),
IF(AND(teacher_type="R",career_stage="P"),VLOOKUP($BF25,RPI[],COLUMN(RPI[cot1]),FALSE),
IF(AND(teacher_type="R",career_stage="HP"),VLOOKUP($BF25,RHPI[],COLUMN(RHPI[cot1]),FALSE),
IF(AND(teacher_type="TB",career_stage="P"),VLOOKUP($BF25,TBPI[],COLUMN(TBPI[cot1]),FALSE),
IF(AND(teacher_type="TB",career_stage="HP"),VLOOKUP($BF25,TBHPI[],COLUMN(TBHPI[cot1]),FALSE),FALSE)))),
FALSE))),FALSE)</f>
        <v>1</v>
      </c>
      <c r="BH25" s="154" t="b">
        <v>0</v>
      </c>
      <c r="BI25" s="196" t="b" cm="1">
        <f t="array" ref="BI25">IFERROR(IF(OR(LOWER(TRIM(U$20))=LOWER(TRIM(data2!$U$35)),LOWER(TRIM(U$20))=LOWER(TRIM(data2!$U$36))),FALSE,AND(U$12,IF(AND($G25,$D25="COI"),
IF(AND(teacher_type="R",career_stage="P"),VLOOKUP($BF25,RPI[],COLUMN(RPI[cot2]),FALSE),
IF(AND(teacher_type="R",career_stage="HP"),VLOOKUP($BF25,RHPI[],COLUMN(RHPI[cot2]),FALSE),
IF(AND(teacher_type="TB",career_stage="P"),VLOOKUP($BF25,TBPI[],COLUMN(TBPI[cot2]),FALSE),
IF(AND(teacher_type="TB",career_stage="HP"),VLOOKUP($BF25,TBHPI[],COLUMN(TBHPI[cot2]),FALSE),FALSE)))),
FALSE))),FALSE)</f>
        <v>1</v>
      </c>
      <c r="BJ25" s="154" t="b">
        <v>0</v>
      </c>
      <c r="BK25" s="196" t="b" cm="1">
        <f t="array" ref="BK25">IFERROR(IF(OR(LOWER(TRIM(W$20))=LOWER(TRIM(data2!$U$35)),LOWER(TRIM(W$20))=LOWER(TRIM(data2!$U$36))),FALSE,AND(W$12,IF(AND($G25,$D25="COI"),
IF(AND(teacher_type="R",career_stage="P"),VLOOKUP($BF25,RPI[],COLUMN(RPI[cot3]),FALSE),
IF(AND(teacher_type="R",career_stage="HP"),VLOOKUP($BF25,RHPI[],COLUMN(RHPI[cot3]),FALSE),
IF(AND(teacher_type="TB",career_stage="P"),VLOOKUP($BF25,TBPI[],COLUMN(TBPI[cot3]),FALSE),
IF(AND(teacher_type="TB",career_stage="HP"),VLOOKUP($BF25,TBHPI[],COLUMN(TBHPI[cot3]),FALSE),FALSE)))),
FALSE))),FALSE)</f>
        <v>1</v>
      </c>
      <c r="BL25" s="154" t="b">
        <v>0</v>
      </c>
      <c r="BM25" s="196" t="b" cm="1">
        <f t="array" ref="BM25">IFERROR(IF(OR(LOWER(TRIM(Y$20))=LOWER(TRIM(data2!$U$35)),LOWER(TRIM(Y$20))=LOWER(TRIM(data2!$U$36))),FALSE,AND(Y$12,IF(AND($G25,$D25="COI"),
IF(AND(teacher_type="R",career_stage="P"),VLOOKUP($BF25,RPI[],COLUMN(RPI[cot4]),FALSE),
IF(AND(teacher_type="R",career_stage="HP"),VLOOKUP($BF25,RHPI[],COLUMN(RHPI[cot4]),FALSE),
IF(AND(teacher_type="TB",career_stage="P"),VLOOKUP($BF25,TBPI[],COLUMN(TBPI[cot4]),FALSE),
IF(AND(teacher_type="TB",career_stage="HP"),VLOOKUP($BF25,TBHPI[],COLUMN(TBHPI[cot4]),FALSE),FALSE)))),
FALSE))),FALSE)</f>
        <v>1</v>
      </c>
      <c r="BN25" s="154" t="b">
        <v>0</v>
      </c>
      <c r="BO25" s="150">
        <f t="shared" si="16"/>
        <v>4</v>
      </c>
      <c r="BP25" s="196" t="b">
        <f t="shared" si="17"/>
        <v>0</v>
      </c>
      <c r="BQ25" s="196" t="b">
        <f>IFERROR(IF(OR(NOT(CZ25),LOWER(TRIM(S$20))=LOWER(TRIM(data2!$U$35))),TRUE,IF(AND(CZ25,LOWER(TRIM(S$20))=LOWER(TRIM(data2!$U$36))),FALSE)),FALSE)</f>
        <v>0</v>
      </c>
      <c r="BR25" s="196" t="b">
        <f t="shared" si="18"/>
        <v>0</v>
      </c>
      <c r="BS25" s="196" t="b">
        <f>IFERROR(IF(OR(NOT(DB25),LOWER(TRIM(U$20))=LOWER(TRIM(data2!$U$35))),TRUE,IF(AND(DB25,LOWER(TRIM(U$20))=LOWER(TRIM(data2!$U$36))),FALSE)),FALSE)</f>
        <v>0</v>
      </c>
      <c r="BT25" s="196" t="b">
        <f t="shared" si="19"/>
        <v>0</v>
      </c>
      <c r="BU25" s="196" t="b">
        <f>IFERROR(IF(OR(NOT(DD25),LOWER(TRIM(W$20))=LOWER(TRIM(data2!$U$35))),TRUE,IF(AND(DD25,LOWER(TRIM(W$20))=LOWER(TRIM(data2!$U$36))),FALSE)),FALSE)</f>
        <v>0</v>
      </c>
      <c r="BV25" s="196" t="b">
        <f t="shared" si="20"/>
        <v>0</v>
      </c>
      <c r="BW25" s="196" t="b">
        <f>IFERROR(IF(OR(NOT(DF25),LOWER(TRIM(Y$20))=LOWER(TRIM(data2!$U$35))),TRUE,IF(AND(DF25,LOWER(TRIM(Y$20))=LOWER(TRIM(data2!$U$36))),FALSE)),FALSE)</f>
        <v>0</v>
      </c>
      <c r="BY25" s="154" t="str">
        <f t="shared" si="21"/>
        <v/>
      </c>
      <c r="BZ25" s="154" t="str">
        <f t="shared" si="22"/>
        <v>1.4.2-E-COI</v>
      </c>
      <c r="CA25" s="154" t="str">
        <f t="shared" si="23"/>
        <v/>
      </c>
      <c r="CB25" s="154" t="str">
        <f t="shared" si="24"/>
        <v>CE25:CI25</v>
      </c>
      <c r="CC25" s="154" t="str">
        <f t="shared" si="25"/>
        <v>CK25:CO25</v>
      </c>
      <c r="CD25" s="154" t="str">
        <f t="shared" si="26"/>
        <v>CQ25:CU25</v>
      </c>
      <c r="CE25" s="359" cm="1">
        <f t="array" ref="CE25">IFERROR(IF($BY25&lt;&gt;"",
IF(AND(teacher_type="R",career_stage="P"),
    IF(INDEX(RPS[[Outstanding]:[Poor]],MATCH($BY25,RPS[[helper]:[helper]],0),CE$19)&lt;&gt;"",CE$20,""),
IF(AND(teacher_type="R",career_stage="HP"),
    IF(INDEX(RHPS[[Outstanding]:[Poor]],MATCH($BY25,RHPS[[helper]:[helper]],0),CE$19)&lt;&gt;"",CE$20,""),
IF(AND(teacher_type="TB",career_stage="P"),
    IF(INDEX(TBPS[[Outstanding]:[Poor]],MATCH($BY25,TBPS[[helper]:[helper]],0),CE$19)&lt;&gt;"",CE$20,""),
IF(AND(teacher_type="TB",career_stage="HP"),
    IF(INDEX(TBHPS[[Outstanding]:[Poor]],MATCH($BY25,TBHPS[[helper]:[helper]],0),CE$19)&lt;&gt;"",CE$20,""),
CE$20)))),
CE$20),CE$20)</f>
        <v>5</v>
      </c>
      <c r="CF25" s="359" cm="1">
        <f t="array" ref="CF25">IFERROR(IF($BY25&lt;&gt;"",
IF(AND(teacher_type="R",career_stage="P"),
    IF(INDEX(RPS[[Outstanding]:[Poor]],MATCH($BY25,RPS[[helper]:[helper]],0),CF$19)&lt;&gt;"",CF$20,""),
IF(AND(teacher_type="R",career_stage="HP"),
    IF(INDEX(RHPS[[Outstanding]:[Poor]],MATCH($BY25,RHPS[[helper]:[helper]],0),CF$19)&lt;&gt;"",CF$20,""),
IF(AND(teacher_type="TB",career_stage="P"),
    IF(INDEX(TBPS[[Outstanding]:[Poor]],MATCH($BY25,TBPS[[helper]:[helper]],0),CF$19)&lt;&gt;"",CF$20,""),
IF(AND(teacher_type="TB",career_stage="HP"),
    IF(INDEX(TBHPS[[Outstanding]:[Poor]],MATCH($BY25,TBHPS[[helper]:[helper]],0),CF$19)&lt;&gt;"",CF$20,""),
CF$20)))),
CF$20),CF$20)</f>
        <v>4</v>
      </c>
      <c r="CG25" s="359" cm="1">
        <f t="array" ref="CG25">IFERROR(IF($BY25&lt;&gt;"",
IF(AND(teacher_type="R",career_stage="P"),
    IF(INDEX(RPS[[Outstanding]:[Poor]],MATCH($BY25,RPS[[helper]:[helper]],0),CG$19)&lt;&gt;"",CG$20,""),
IF(AND(teacher_type="R",career_stage="HP"),
    IF(INDEX(RHPS[[Outstanding]:[Poor]],MATCH($BY25,RHPS[[helper]:[helper]],0),CG$19)&lt;&gt;"",CG$20,""),
IF(AND(teacher_type="TB",career_stage="P"),
    IF(INDEX(TBPS[[Outstanding]:[Poor]],MATCH($BY25,TBPS[[helper]:[helper]],0),CG$19)&lt;&gt;"",CG$20,""),
IF(AND(teacher_type="TB",career_stage="HP"),
    IF(INDEX(TBHPS[[Outstanding]:[Poor]],MATCH($BY25,TBHPS[[helper]:[helper]],0),CG$19)&lt;&gt;"",CG$20,""),
CG$20)))),
CG$20),CG$20)</f>
        <v>3</v>
      </c>
      <c r="CH25" s="359" cm="1">
        <f t="array" ref="CH25">IFERROR(IF($BY25&lt;&gt;"",
IF(AND(teacher_type="R",career_stage="P"),
    IF(INDEX(RPS[[Outstanding]:[Poor]],MATCH($BY25,RPS[[helper]:[helper]],0),CH$19)&lt;&gt;"",CH$20,""),
IF(AND(teacher_type="R",career_stage="HP"),
    IF(INDEX(RHPS[[Outstanding]:[Poor]],MATCH($BY25,RHPS[[helper]:[helper]],0),CH$19)&lt;&gt;"",CH$20,""),
IF(AND(teacher_type="TB",career_stage="P"),
    IF(INDEX(TBPS[[Outstanding]:[Poor]],MATCH($BY25,TBPS[[helper]:[helper]],0),CH$19)&lt;&gt;"",CH$20,""),
IF(AND(teacher_type="TB",career_stage="HP"),
    IF(INDEX(TBHPS[[Outstanding]:[Poor]],MATCH($BY25,TBHPS[[helper]:[helper]],0),CH$19)&lt;&gt;"",CH$20,""),
CH$20)))),
CH$20),CH$20)</f>
        <v>2</v>
      </c>
      <c r="CI25" s="359" cm="1">
        <f t="array" ref="CI25">IFERROR(IF($BY25&lt;&gt;"",
IF(AND(teacher_type="R",career_stage="P"),
    IF(INDEX(RPS[[Outstanding]:[Poor]],MATCH($BY25,RPS[[helper]:[helper]],0),CI$19)&lt;&gt;"",CI$20,""),
IF(AND(teacher_type="R",career_stage="HP"),
    IF(INDEX(RHPS[[Outstanding]:[Poor]],MATCH($BY25,RHPS[[helper]:[helper]],0),CI$19)&lt;&gt;"",CI$20,""),
IF(AND(teacher_type="TB",career_stage="P"),
    IF(INDEX(TBPS[[Outstanding]:[Poor]],MATCH($BY25,TBPS[[helper]:[helper]],0),CI$19)&lt;&gt;"",CI$20,""),
IF(AND(teacher_type="TB",career_stage="HP"),
    IF(INDEX(TBHPS[[Outstanding]:[Poor]],MATCH($BY25,TBHPS[[helper]:[helper]],0),CI$19)&lt;&gt;"",CI$20,""),
CI$20)))),
CI$20),CI$20)</f>
        <v>1</v>
      </c>
      <c r="CJ25" s="360">
        <f t="shared" si="27"/>
        <v>5</v>
      </c>
      <c r="CK25" s="359" cm="1">
        <f t="array" ref="CK25">IFERROR(IF($BZ25&lt;&gt;"",
IF(AND(teacher_type="R",career_stage="P"),
    IF(INDEX(RPS[[Outstanding]:[Poor]],MATCH($BZ25,RPS[[helper]:[helper]],0),CK$19)&lt;&gt;"",CK$20,""),
IF(AND(teacher_type="R",career_stage="HP"),
    IF(INDEX(RHPS[[Outstanding]:[Poor]],MATCH($BZ25,RHPS[[helper]:[helper]],0),CK$19)&lt;&gt;"",CK$20,""),
IF(AND(teacher_type="TB",career_stage="P"),
    IF(INDEX(TBPS[[Outstanding]:[Poor]],MATCH($BZ25,TBPS[[helper]:[helper]],0),CK$19)&lt;&gt;"",CK$20,""),
IF(AND(teacher_type="TB",career_stage="HP"),
    IF(INDEX(TBHPS[[Outstanding]:[Poor]],MATCH($BZ25,TBHPS[[helper]:[helper]],0),CK$19)&lt;&gt;"",CK$20,""),
CK$20)))),
CK$20),CK$20)</f>
        <v>5</v>
      </c>
      <c r="CL25" s="359" t="str" cm="1">
        <f t="array" ref="CL25">IFERROR(IF($BZ25&lt;&gt;"",
IF(AND(teacher_type="R",career_stage="P"),
    IF(INDEX(RPS[[Outstanding]:[Poor]],MATCH($BZ25,RPS[[helper]:[helper]],0),CL$19)&lt;&gt;"",CL$20,""),
IF(AND(teacher_type="R",career_stage="HP"),
    IF(INDEX(RHPS[[Outstanding]:[Poor]],MATCH($BZ25,RHPS[[helper]:[helper]],0),CL$19)&lt;&gt;"",CL$20,""),
IF(AND(teacher_type="TB",career_stage="P"),
    IF(INDEX(TBPS[[Outstanding]:[Poor]],MATCH($BZ25,TBPS[[helper]:[helper]],0),CL$19)&lt;&gt;"",CL$20,""),
IF(AND(teacher_type="TB",career_stage="HP"),
    IF(INDEX(TBHPS[[Outstanding]:[Poor]],MATCH($BZ25,TBHPS[[helper]:[helper]],0),CL$19)&lt;&gt;"",CL$20,""),
CL$20)))),
CL$20),CL$20)</f>
        <v/>
      </c>
      <c r="CM25" s="359" cm="1">
        <f t="array" ref="CM25">IFERROR(IF($BZ25&lt;&gt;"",
IF(AND(teacher_type="R",career_stage="P"),
    IF(INDEX(RPS[[Outstanding]:[Poor]],MATCH($BZ25,RPS[[helper]:[helper]],0),CM$19)&lt;&gt;"",CM$20,""),
IF(AND(teacher_type="R",career_stage="HP"),
    IF(INDEX(RHPS[[Outstanding]:[Poor]],MATCH($BZ25,RHPS[[helper]:[helper]],0),CM$19)&lt;&gt;"",CM$20,""),
IF(AND(teacher_type="TB",career_stage="P"),
    IF(INDEX(TBPS[[Outstanding]:[Poor]],MATCH($BZ25,TBPS[[helper]:[helper]],0),CM$19)&lt;&gt;"",CM$20,""),
IF(AND(teacher_type="TB",career_stage="HP"),
    IF(INDEX(TBHPS[[Outstanding]:[Poor]],MATCH($BZ25,TBHPS[[helper]:[helper]],0),CM$19)&lt;&gt;"",CM$20,""),
CM$20)))),
CM$20),CM$20)</f>
        <v>3</v>
      </c>
      <c r="CN25" s="359" t="str" cm="1">
        <f t="array" ref="CN25">IFERROR(IF($BZ25&lt;&gt;"",
IF(AND(teacher_type="R",career_stage="P"),
    IF(INDEX(RPS[[Outstanding]:[Poor]],MATCH($BZ25,RPS[[helper]:[helper]],0),CN$19)&lt;&gt;"",CN$20,""),
IF(AND(teacher_type="R",career_stage="HP"),
    IF(INDEX(RHPS[[Outstanding]:[Poor]],MATCH($BZ25,RHPS[[helper]:[helper]],0),CN$19)&lt;&gt;"",CN$20,""),
IF(AND(teacher_type="TB",career_stage="P"),
    IF(INDEX(TBPS[[Outstanding]:[Poor]],MATCH($BZ25,TBPS[[helper]:[helper]],0),CN$19)&lt;&gt;"",CN$20,""),
IF(AND(teacher_type="TB",career_stage="HP"),
    IF(INDEX(TBHPS[[Outstanding]:[Poor]],MATCH($BZ25,TBHPS[[helper]:[helper]],0),CN$19)&lt;&gt;"",CN$20,""),
CN$20)))),
CN$20),CN$20)</f>
        <v/>
      </c>
      <c r="CO25" s="359" cm="1">
        <f t="array" ref="CO25">IFERROR(IF($BZ25&lt;&gt;"",
IF(AND(teacher_type="R",career_stage="P"),
    IF(INDEX(RPS[[Outstanding]:[Poor]],MATCH($BZ25,RPS[[helper]:[helper]],0),CO$19)&lt;&gt;"",CO$20,""),
IF(AND(teacher_type="R",career_stage="HP"),
    IF(INDEX(RHPS[[Outstanding]:[Poor]],MATCH($BZ25,RHPS[[helper]:[helper]],0),CO$19)&lt;&gt;"",CO$20,""),
IF(AND(teacher_type="TB",career_stage="P"),
    IF(INDEX(TBPS[[Outstanding]:[Poor]],MATCH($BZ25,TBPS[[helper]:[helper]],0),CO$19)&lt;&gt;"",CO$20,""),
IF(AND(teacher_type="TB",career_stage="HP"),
    IF(INDEX(TBHPS[[Outstanding]:[Poor]],MATCH($BZ25,TBHPS[[helper]:[helper]],0),CO$19)&lt;&gt;"",CO$20,""),
CO$20)))),
CO$20),CO$20)</f>
        <v>1</v>
      </c>
      <c r="CP25" s="360">
        <f t="shared" si="28"/>
        <v>3</v>
      </c>
      <c r="CQ25" s="359" cm="1">
        <f t="array" ref="CQ25">IFERROR(IF($CA25&lt;&gt;"",
IF(AND(teacher_type="R",career_stage="P"),
    IF(INDEX(RPS[[Outstanding]:[Poor]],MATCH($CA25,RPS[[helper]:[helper]],0),CQ$19)&lt;&gt;"",CQ$20,""),
IF(AND(teacher_type="R",career_stage="HP"),
    IF(INDEX(RHPS[[Outstanding]:[Poor]],MATCH($CA25,RHPS[[helper]:[helper]],0),CQ$19)&lt;&gt;"",CQ$20,""),
IF(AND(teacher_type="TB",career_stage="P"),
    IF(INDEX(TBPS[[Outstanding]:[Poor]],MATCH($CA25,TBPS[[helper]:[helper]],0),CQ$19)&lt;&gt;"",CQ$20,""),
IF(AND(teacher_type="TB",career_stage="HP"),
    IF(INDEX(TBHPS[[Outstanding]:[Poor]],MATCH($CA25,TBHPS[[helper]:[helper]],0),CQ$19)&lt;&gt;"",CQ$20,""),
CQ$20)))),
CQ$20),CQ$20)</f>
        <v>5</v>
      </c>
      <c r="CR25" s="359" cm="1">
        <f t="array" ref="CR25">IFERROR(IF($CA25&lt;&gt;"",
IF(AND(teacher_type="R",career_stage="P"),
    IF(INDEX(RPS[[Outstanding]:[Poor]],MATCH($CA25,RPS[[helper]:[helper]],0),CR$19)&lt;&gt;"",CR$20,""),
IF(AND(teacher_type="R",career_stage="HP"),
    IF(INDEX(RHPS[[Outstanding]:[Poor]],MATCH($CA25,RHPS[[helper]:[helper]],0),CR$19)&lt;&gt;"",CR$20,""),
IF(AND(teacher_type="TB",career_stage="P"),
    IF(INDEX(TBPS[[Outstanding]:[Poor]],MATCH($CA25,TBPS[[helper]:[helper]],0),CR$19)&lt;&gt;"",CR$20,""),
IF(AND(teacher_type="TB",career_stage="HP"),
    IF(INDEX(TBHPS[[Outstanding]:[Poor]],MATCH($CA25,TBHPS[[helper]:[helper]],0),CR$19)&lt;&gt;"",CR$20,""),
CR$20)))),
CR$20),CR$20)</f>
        <v>4</v>
      </c>
      <c r="CS25" s="359" cm="1">
        <f t="array" ref="CS25">IFERROR(IF($CA25&lt;&gt;"",
IF(AND(teacher_type="R",career_stage="P"),
    IF(INDEX(RPS[[Outstanding]:[Poor]],MATCH($CA25,RPS[[helper]:[helper]],0),CS$19)&lt;&gt;"",CS$20,""),
IF(AND(teacher_type="R",career_stage="HP"),
    IF(INDEX(RHPS[[Outstanding]:[Poor]],MATCH($CA25,RHPS[[helper]:[helper]],0),CS$19)&lt;&gt;"",CS$20,""),
IF(AND(teacher_type="TB",career_stage="P"),
    IF(INDEX(TBPS[[Outstanding]:[Poor]],MATCH($CA25,TBPS[[helper]:[helper]],0),CS$19)&lt;&gt;"",CS$20,""),
IF(AND(teacher_type="TB",career_stage="HP"),
    IF(INDEX(TBHPS[[Outstanding]:[Poor]],MATCH($CA25,TBHPS[[helper]:[helper]],0),CS$19)&lt;&gt;"",CS$20,""),
CS$20)))),
CS$20),CS$20)</f>
        <v>3</v>
      </c>
      <c r="CT25" s="359" cm="1">
        <f t="array" ref="CT25">IFERROR(IF($CA25&lt;&gt;"",
IF(AND(teacher_type="R",career_stage="P"),
    IF(INDEX(RPS[[Outstanding]:[Poor]],MATCH($CA25,RPS[[helper]:[helper]],0),CT$19)&lt;&gt;"",CT$20,""),
IF(AND(teacher_type="R",career_stage="HP"),
    IF(INDEX(RHPS[[Outstanding]:[Poor]],MATCH($CA25,RHPS[[helper]:[helper]],0),CT$19)&lt;&gt;"",CT$20,""),
IF(AND(teacher_type="TB",career_stage="P"),
    IF(INDEX(TBPS[[Outstanding]:[Poor]],MATCH($CA25,TBPS[[helper]:[helper]],0),CT$19)&lt;&gt;"",CT$20,""),
IF(AND(teacher_type="TB",career_stage="HP"),
    IF(INDEX(TBHPS[[Outstanding]:[Poor]],MATCH($CA25,TBHPS[[helper]:[helper]],0),CT$19)&lt;&gt;"",CT$20,""),
CT$20)))),
CT$20),CT$20)</f>
        <v>2</v>
      </c>
      <c r="CU25" s="359" cm="1">
        <f t="array" ref="CU25">IFERROR(IF($CA25&lt;&gt;"",
IF(AND(teacher_type="R",career_stage="P"),
    IF(INDEX(RPS[[Outstanding]:[Poor]],MATCH($CA25,RPS[[helper]:[helper]],0),CU$19)&lt;&gt;"",CU$20,""),
IF(AND(teacher_type="R",career_stage="HP"),
    IF(INDEX(RHPS[[Outstanding]:[Poor]],MATCH($CA25,RHPS[[helper]:[helper]],0),CU$19)&lt;&gt;"",CU$20,""),
IF(AND(teacher_type="TB",career_stage="P"),
    IF(INDEX(TBPS[[Outstanding]:[Poor]],MATCH($CA25,TBPS[[helper]:[helper]],0),CU$19)&lt;&gt;"",CU$20,""),
IF(AND(teacher_type="TB",career_stage="HP"),
    IF(INDEX(TBHPS[[Outstanding]:[Poor]],MATCH($CA25,TBHPS[[helper]:[helper]],0),CU$19)&lt;&gt;"",CU$20,""),
CU$20)))),
CU$20),CU$20)</f>
        <v>1</v>
      </c>
      <c r="CV25" s="360">
        <f t="shared" si="29"/>
        <v>5</v>
      </c>
      <c r="CY25" s="443" t="b" cm="1">
        <f t="array" ref="CY25">IFERROR(AND(S$12,IF(AND($G25,$D25="COI"),
IF(AND(teacher_type="R",career_stage="P"),VLOOKUP($BF25,RPI[],COLUMN(RPI[cot1]),FALSE),
IF(AND(teacher_type="R",career_stage="HP"),VLOOKUP($BF25,RHPI[],COLUMN(RHPI[cot1]),FALSE),
IF(AND(teacher_type="TB",career_stage="P"),VLOOKUP($BF25,TBPI[],COLUMN(TBPI[cot1]),FALSE),
IF(AND(teacher_type="TB",career_stage="HP"),VLOOKUP($BF25,TBHPI[],COLUMN(TBHPI[cot1]),FALSE),FALSE)))),
FALSE)),FALSE)</f>
        <v>1</v>
      </c>
      <c r="CZ25" s="443" t="b">
        <f t="shared" si="30"/>
        <v>1</v>
      </c>
      <c r="DA25" s="443" t="b" cm="1">
        <f t="array" ref="DA25">IFERROR(AND(U$12,IF(AND($G25,$D25="COI"),
IF(AND(teacher_type="R",career_stage="P"),VLOOKUP($BF25,RPI[],COLUMN(RPI[cot2]),FALSE),
IF(AND(teacher_type="R",career_stage="HP"),VLOOKUP($BF25,RHPI[],COLUMN(RHPI[cot2]),FALSE),
IF(AND(teacher_type="TB",career_stage="P"),VLOOKUP($BF25,TBPI[],COLUMN(TBPI[cot2]),FALSE),
IF(AND(teacher_type="TB",career_stage="HP"),VLOOKUP($BF25,TBHPI[],COLUMN(TBHPI[cot2]),FALSE),FALSE)))),
FALSE)),FALSE)</f>
        <v>1</v>
      </c>
      <c r="DB25" s="443" t="b">
        <f t="shared" si="31"/>
        <v>1</v>
      </c>
      <c r="DC25" s="443" t="b" cm="1">
        <f t="array" ref="DC25">IFERROR(AND(W$12,IF(AND($G25,$D25="COI"),
IF(AND(teacher_type="R",career_stage="P"),VLOOKUP($BF25,RPI[],COLUMN(RPI[cot3]),FALSE),
IF(AND(teacher_type="R",career_stage="HP"),VLOOKUP($BF25,RHPI[],COLUMN(RHPI[cot3]),FALSE),
IF(AND(teacher_type="TB",career_stage="P"),VLOOKUP($BF25,TBPI[],COLUMN(TBPI[cot3]),FALSE),
IF(AND(teacher_type="TB",career_stage="HP"),VLOOKUP($BF25,TBHPI[],COLUMN(TBHPI[cot3]),FALSE),FALSE)))),
FALSE)),FALSE)</f>
        <v>1</v>
      </c>
      <c r="DD25" s="443" t="b">
        <f t="shared" si="32"/>
        <v>1</v>
      </c>
      <c r="DE25" s="443" t="b" cm="1">
        <f t="array" ref="DE25">IFERROR(AND(Y$12,IF(AND($G25,$D25="COI"),
IF(AND(teacher_type="R",career_stage="P"),VLOOKUP($BF25,RPI[],COLUMN(RPI[cot4]),FALSE),
IF(AND(teacher_type="R",career_stage="HP"),VLOOKUP($BF25,RHPI[],COLUMN(RHPI[cot4]),FALSE),
IF(AND(teacher_type="TB",career_stage="P"),VLOOKUP($BF25,TBPI[],COLUMN(TBPI[cot4]),FALSE),
IF(AND(teacher_type="TB",career_stage="HP"),VLOOKUP($BF25,TBHPI[],COLUMN(TBHPI[cot4]),FALSE),FALSE)))),
FALSE)),FALSE)</f>
        <v>1</v>
      </c>
      <c r="DF25" s="443" t="b">
        <f t="shared" si="33"/>
        <v>1</v>
      </c>
      <c r="DG25" s="150">
        <f t="shared" si="34"/>
        <v>4</v>
      </c>
      <c r="DH25" s="154">
        <f>IF(AND(CY25,LOWER(TRIM(S$20))=LOWER(TRIM(data2!$U$35))),1,0) +
IF(AND(DA25,LOWER(TRIM(U$20))=LOWER(TRIM(data2!$U$35))),1,0) +
IF(AND(DC25,LOWER(TRIM(W$20))=LOWER(TRIM(data2!$U$35))),1,0) +
IF(AND(DE25,LOWER(TRIM(Y$20))=LOWER(TRIM(data2!$U$35))),1,0)</f>
        <v>0</v>
      </c>
      <c r="DJ25" s="154">
        <f t="shared" si="35"/>
        <v>4</v>
      </c>
    </row>
    <row r="26" spans="1:116" s="154" customFormat="1" ht="24.95" customHeight="1" x14ac:dyDescent="0.25">
      <c r="A26" s="156"/>
      <c r="B26" s="154">
        <v>5</v>
      </c>
      <c r="C26" s="150" t="str">
        <f>IFERROR(IF(AND(teacher_type="R",career_stage="P"),VLOOKUP(O26,RPI[],COLUMNS(RPI[[Strand]:[admin_selected_coi_ncoi]]),FALSE),IF(AND(teacher_type="R",career_stage="HP"),VLOOKUP(O26,RHPI[],COLUMNS(RHPI[[Strand]:[admin_selected_coi_ncoi]]),FALSE),IF(AND(teacher_type="TB",career_stage="P"),VLOOKUP(O26,TBPI[],COLUMNS(TBPI[[Strand]:[admin_selected_coi_ncoi]]),FALSE),IF(AND(teacher_type="TB",career_stage="HP"),VLOOKUP(O26,TBHPI[],COLUMNS(TBHPI[[Strand]:[admin_selected_coi_ncoi]]),FALSE),"NCOI")))),"NCOI")</f>
        <v>COI</v>
      </c>
      <c r="D26" s="150" t="str">
        <f t="shared" si="10"/>
        <v>COI</v>
      </c>
      <c r="E26" s="150">
        <f>IFERROR(IF(AND(teacher_type="R",career_stage="P"),VLOOKUP($O26,RPI[[Strand]:[Domain]],COLUMNS(RPI[[Strand]:[Domain]]),FALSE),IF(AND(teacher_type="R",career_stage="HP"),VLOOKUP($O26,RHPI[[Strand]:[Domain]],COLUMNS(RHPI[[Strand]:[Domain]]),FALSE),IF(AND(teacher_type="TB",career_stage="P"),VLOOKUP($O26,TBPI[[Strand]:[Domain]],COLUMNS(TBPI[[Strand]:[Domain]]),FALSE),IF(AND(teacher_type="TB",career_stage="HP"),VLOOKUP($O26,TBHPI[[Strand]:[Domain]],COLUMNS(TBHPI[[Strand]:[Domain]]),FALSE),"")))),"")</f>
        <v>1</v>
      </c>
      <c r="F26" s="155" t="b">
        <f>AND(COUNTIFS($E$22:$E26,E26,$G$22:$G26,TRUE)=1,$G26)</f>
        <v>0</v>
      </c>
      <c r="G26" s="212" t="b">
        <f>IFERROR(IF(AND(teacher_type="R",career_stage="P"),VLOOKUP($O26,RPI[],COLUMNS(RPI[[Strand]:[Selected]]),FALSE),IF(AND(teacher_type="R",career_stage="HP"),VLOOKUP($O26,RHPI[],COLUMNS(RHPI[[Strand]:[Selected]]),FALSE),IF(AND(teacher_type="TB",career_stage="P"),VLOOKUP($O26,TBPI[],COLUMNS(TBPI[[Strand]:[Selected]]),FALSE),IF(AND(teacher_type="TB",career_stage="HP"),VLOOKUP($O26,TBHPI[],COLUMNS(TBHPI[[Strand]:[Selected]]),FALSE),FALSE)))),FALSE)</f>
        <v>1</v>
      </c>
      <c r="H26" s="156" t="b">
        <f>IFERROR(IF(AND(teacher_type="R",career_stage="P"),AND(COUNTIFS(RPS[Strand],$O26,RPS[QET],H$21)&gt;0,$G26),IF(AND(teacher_type="R",career_stage="HP"),AND(COUNTIFS(RHPS[Strand],$O26,RHPS[QET],H$21)&gt;0,$G26),IF(AND(teacher_type="TB",career_stage="P"),AND(COUNTIFS(TBPS[Strand],$O26,TBPS[QET],H$21)&gt;0,$G26),IF(AND(teacher_type="TB",career_stage="HP"),AND(COUNTIFS(TBHPS[Strand],$O26,TBHPS[QET],H$21)&gt;0,$G26),FALSE)))),FALSE)</f>
        <v>1</v>
      </c>
      <c r="I26" s="156" t="b">
        <f t="shared" si="11"/>
        <v>0</v>
      </c>
      <c r="J26" s="156" t="b">
        <f>IFERROR(IF(AND(teacher_type="R",career_stage="P"),AND(COUNTIFS(RPS[Strand],$O26,RPS[QET],J$21)&gt;0,$G26),IF(AND(teacher_type="R",career_stage="HP"),AND(COUNTIFS(RHPS[Strand],$O26,RHPS[QET],J$21)&gt;0,$G26),IF(AND(teacher_type="TB",career_stage="P"),AND(COUNTIFS(TBPS[Strand],$O26,TBPS[QET],J$21)&gt;0,$G26),IF(AND(teacher_type="TB",career_stage="HP"),AND(COUNTIFS(TBHPS[Strand],$O26,TBHPS[QET],J$21)&gt;0,$G26),FALSE)))),FALSE)</f>
        <v>1</v>
      </c>
      <c r="K26" s="156" t="b">
        <f>IFERROR(IF(AND(teacher_type="R",career_stage="P"),AND(COUNTIFS(RPS[Strand],$O26,RPS[QET],K$21)&gt;0,$G26),IF(AND(teacher_type="R",career_stage="HP"),AND(COUNTIFS(RHPS[Strand],$O26,RHPS[QET],K$21)&gt;0,$G26),IF(AND(teacher_type="TB",career_stage="P"),AND(COUNTIFS(TBPS[Strand],$O26,TBPS[QET],K$21)&gt;0,$G26),IF(AND(teacher_type="TB",career_stage="HP"),AND(COUNTIFS(TBHPS[Strand],$O26,TBHPS[QET],K$21)&gt;0,$G26),FALSE)))),FALSE)</f>
        <v>0</v>
      </c>
      <c r="L26" s="156" t="b">
        <f t="shared" si="12"/>
        <v>1</v>
      </c>
      <c r="M26" s="165" t="str">
        <f t="shared" si="13"/>
        <v/>
      </c>
      <c r="N26" s="48">
        <f>IF($G26,COUNTIF($G$22:$G26,TRUE),"")</f>
        <v>3</v>
      </c>
      <c r="O26" s="48" t="str" cm="1">
        <f t="array" ref="O26">IFERROR(IF(AND(teacher_type="R",career_stage="P"),INDEX(RPI[Strand],$B26),IF(AND(teacher_type="R",career_stage="HP"),INDEX(RHPI[Strand],$B26),IF(AND(teacher_type="TB",career_stage="P"),INDEX(TBPI[Strand],$B26),IF(AND(teacher_type="TB",career_stage="HP"),INDEX(TBHPI[Strand],$B26),"")))),"")</f>
        <v>1.5.2</v>
      </c>
      <c r="P26" s="166" t="str">
        <f>$C$26</f>
        <v>COI</v>
      </c>
      <c r="Q26" s="167">
        <f>IFERROR(IF(AND(teacher_type="R",career_stage="P"),VLOOKUP(O26,RPI[],COLUMNS(RPI[[Strand]:[Weight]]),FALSE), IF(AND(teacher_type="R",career_stage="HP"),VLOOKUP(O26,RHPI[],COLUMNS(RHPI[[Strand]:[Weight]]),FALSE), IF(AND(teacher_type="TB",career_stage="P"),VLOOKUP(O26,TBPI[],COLUMNS(TBPI[[Strand]:[Weight]]),FALSE), IF(AND(teacher_type="TB",career_stage="HP"),VLOOKUP(O26,TBHPI[],COLUMNS(TBHPI[[Strand]:[Weight]]),FALSE),0)))),0)</f>
        <v>7.0000000000000007E-2</v>
      </c>
      <c r="R26" s="179">
        <f>COUNTIFS($D$22:D26,"COI",$G$22:G26,TRUE)</f>
        <v>3</v>
      </c>
      <c r="S26" s="481">
        <v>6</v>
      </c>
      <c r="T26" s="417">
        <f>IFERROR(IF(LOWER(TRIM(S$20))=LOWER(TRIM(data2!$U$35)),"",IF(AND($G26,$D26="COI",S$12,CZ26),IF(OR(LOWER(TRIM(S$20))=LOWER(TRIM(data2!$U$36)),ISBLANK(S26)),1,IF(career_stage="P",VLOOKUP(S26,P_COT_vlookup,2,FALSE),IF(career_stage="HP",VLOOKUP(S26,HP_COT_vlookup,2,FALSE),""))),"")),"")</f>
        <v>4</v>
      </c>
      <c r="U26" s="488">
        <v>6</v>
      </c>
      <c r="V26" s="414">
        <f>IFERROR(IF(LOWER(TRIM(U$20))=LOWER(TRIM(data2!$U$35)),"",IF(AND($G26,$D26="COI",U$12,DB26),IF(OR(LOWER(TRIM(U$20))=LOWER(TRIM(data2!$U$36)),ISBLANK(U26)),1,IF(career_stage="P",VLOOKUP(U26,P_COT_vlookup,2,FALSE),IF(career_stage="HP",VLOOKUP(U26,HP_COT_vlookup,2,FALSE),""))),"")),"")</f>
        <v>4</v>
      </c>
      <c r="W26" s="491">
        <v>6</v>
      </c>
      <c r="X26" s="415">
        <f>IFERROR(IF(LOWER(TRIM(W$20))=LOWER(TRIM(data2!$U$35)),"",IF(AND($G26,$D26="COI",W$12,DD26),IF(OR(LOWER(TRIM(W$20))=LOWER(TRIM(data2!$U$36)),ISBLANK(W26)),1,IF(career_stage="P",VLOOKUP(W26,P_COT_vlookup,2,FALSE),IF(career_stage="HP",VLOOKUP(W26,HP_COT_vlookup,2,FALSE),""))),"")),"")</f>
        <v>4</v>
      </c>
      <c r="Y26" s="493">
        <v>6</v>
      </c>
      <c r="Z26" s="170">
        <f>IFERROR(IF(LOWER(TRIM(Y$20))=LOWER(TRIM(data2!$U$35)),"",IF(AND($G26,$D26="COI",Y$12,DF26),IF(OR(LOWER(TRIM(Y$20))=LOWER(TRIM(data2!$U$36)),ISBLANK(Y26)),1,IF(career_stage="P",VLOOKUP(Y26,P_COT_vlookup,2,FALSE),IF(career_stage="HP",VLOOKUP(Y26,HP_COT_vlookup,2,FALSE),""))),"")),"")</f>
        <v>4</v>
      </c>
      <c r="AA26" s="171">
        <f t="shared" si="14"/>
        <v>4</v>
      </c>
      <c r="AB26" s="471">
        <f>IFERROR(IF(NOT(L22),"",VLOOKUP(ROUNDDOWN($AA$26,3),rating_desc_vlookup,3,TRUE)),1)</f>
        <v>4</v>
      </c>
      <c r="AC26" s="462">
        <v>5</v>
      </c>
      <c r="AD26" s="473"/>
      <c r="AE26" s="49">
        <f t="shared" si="2"/>
        <v>4.5</v>
      </c>
      <c r="AF26" s="49">
        <f t="shared" si="3"/>
        <v>0.315</v>
      </c>
      <c r="AG26" s="172" t="str">
        <f t="shared" si="4"/>
        <v>Outstanding</v>
      </c>
      <c r="AI26" s="196" t="b">
        <f t="shared" si="5"/>
        <v>1</v>
      </c>
      <c r="AJ26" s="154" t="b">
        <v>1</v>
      </c>
      <c r="AK26" s="154" t="b">
        <v>1</v>
      </c>
      <c r="AL26" s="196" t="b">
        <f t="shared" si="15"/>
        <v>1</v>
      </c>
      <c r="AM26" s="154" t="b">
        <v>1</v>
      </c>
      <c r="AN26" s="196" t="b">
        <f t="shared" si="15"/>
        <v>1</v>
      </c>
      <c r="AO26" s="154" t="b">
        <v>1</v>
      </c>
      <c r="AP26" s="196" t="b">
        <f t="shared" si="15"/>
        <v>1</v>
      </c>
      <c r="AQ26" s="154" t="b">
        <v>1</v>
      </c>
      <c r="AR26" s="196" t="b">
        <f t="shared" si="15"/>
        <v>1</v>
      </c>
      <c r="AS26" s="154" t="b">
        <v>1</v>
      </c>
      <c r="AT26" s="154" t="b">
        <v>1</v>
      </c>
      <c r="AU26" s="196" t="b">
        <f t="shared" si="6"/>
        <v>1</v>
      </c>
      <c r="AV26" s="196" t="b">
        <f t="shared" si="7"/>
        <v>1</v>
      </c>
      <c r="AW26" s="196" t="b">
        <f t="shared" si="8"/>
        <v>1</v>
      </c>
      <c r="AX26" s="47" t="b">
        <v>1</v>
      </c>
      <c r="AY26" s="47" t="b">
        <v>1</v>
      </c>
      <c r="AZ26" s="47" t="b">
        <v>1</v>
      </c>
      <c r="BF26" s="154" t="str">
        <f t="shared" si="9"/>
        <v>1.5.2</v>
      </c>
      <c r="BG26" s="196" t="b" cm="1">
        <f t="array" ref="BG26">IFERROR(IF(OR(LOWER(TRIM(S$20))=LOWER(TRIM(data2!$U$35)),LOWER(TRIM(S$20))=LOWER(TRIM(data2!$U$36))),FALSE,AND(S$12,IF(AND($G26,$D26="COI"),
IF(AND(teacher_type="R",career_stage="P"),VLOOKUP($BF26,RPI[],COLUMN(RPI[cot1]),FALSE),
IF(AND(teacher_type="R",career_stage="HP"),VLOOKUP($BF26,RHPI[],COLUMN(RHPI[cot1]),FALSE),
IF(AND(teacher_type="TB",career_stage="P"),VLOOKUP($BF26,TBPI[],COLUMN(TBPI[cot1]),FALSE),
IF(AND(teacher_type="TB",career_stage="HP"),VLOOKUP($BF26,TBHPI[],COLUMN(TBHPI[cot1]),FALSE),FALSE)))),
FALSE))),FALSE)</f>
        <v>1</v>
      </c>
      <c r="BH26" s="154" t="b">
        <v>0</v>
      </c>
      <c r="BI26" s="196" t="b" cm="1">
        <f t="array" ref="BI26">IFERROR(IF(OR(LOWER(TRIM(U$20))=LOWER(TRIM(data2!$U$35)),LOWER(TRIM(U$20))=LOWER(TRIM(data2!$U$36))),FALSE,AND(U$12,IF(AND($G26,$D26="COI"),
IF(AND(teacher_type="R",career_stage="P"),VLOOKUP($BF26,RPI[],COLUMN(RPI[cot2]),FALSE),
IF(AND(teacher_type="R",career_stage="HP"),VLOOKUP($BF26,RHPI[],COLUMN(RHPI[cot2]),FALSE),
IF(AND(teacher_type="TB",career_stage="P"),VLOOKUP($BF26,TBPI[],COLUMN(TBPI[cot2]),FALSE),
IF(AND(teacher_type="TB",career_stage="HP"),VLOOKUP($BF26,TBHPI[],COLUMN(TBHPI[cot2]),FALSE),FALSE)))),
FALSE))),FALSE)</f>
        <v>1</v>
      </c>
      <c r="BJ26" s="154" t="b">
        <v>0</v>
      </c>
      <c r="BK26" s="196" t="b" cm="1">
        <f t="array" ref="BK26">IFERROR(IF(OR(LOWER(TRIM(W$20))=LOWER(TRIM(data2!$U$35)),LOWER(TRIM(W$20))=LOWER(TRIM(data2!$U$36))),FALSE,AND(W$12,IF(AND($G26,$D26="COI"),
IF(AND(teacher_type="R",career_stage="P"),VLOOKUP($BF26,RPI[],COLUMN(RPI[cot3]),FALSE),
IF(AND(teacher_type="R",career_stage="HP"),VLOOKUP($BF26,RHPI[],COLUMN(RHPI[cot3]),FALSE),
IF(AND(teacher_type="TB",career_stage="P"),VLOOKUP($BF26,TBPI[],COLUMN(TBPI[cot3]),FALSE),
IF(AND(teacher_type="TB",career_stage="HP"),VLOOKUP($BF26,TBHPI[],COLUMN(TBHPI[cot3]),FALSE),FALSE)))),
FALSE))),FALSE)</f>
        <v>1</v>
      </c>
      <c r="BL26" s="154" t="b">
        <v>0</v>
      </c>
      <c r="BM26" s="196" t="b" cm="1">
        <f t="array" ref="BM26">IFERROR(IF(OR(LOWER(TRIM(Y$20))=LOWER(TRIM(data2!$U$35)),LOWER(TRIM(Y$20))=LOWER(TRIM(data2!$U$36))),FALSE,AND(Y$12,IF(AND($G26,$D26="COI"),
IF(AND(teacher_type="R",career_stage="P"),VLOOKUP($BF26,RPI[],COLUMN(RPI[cot4]),FALSE),
IF(AND(teacher_type="R",career_stage="HP"),VLOOKUP($BF26,RHPI[],COLUMN(RHPI[cot4]),FALSE),
IF(AND(teacher_type="TB",career_stage="P"),VLOOKUP($BF26,TBPI[],COLUMN(TBPI[cot4]),FALSE),
IF(AND(teacher_type="TB",career_stage="HP"),VLOOKUP($BF26,TBHPI[],COLUMN(TBHPI[cot4]),FALSE),FALSE)))),
FALSE))),FALSE)</f>
        <v>1</v>
      </c>
      <c r="BN26" s="154" t="b">
        <v>0</v>
      </c>
      <c r="BO26" s="150">
        <f t="shared" si="16"/>
        <v>4</v>
      </c>
      <c r="BP26" s="196" t="b">
        <f t="shared" si="17"/>
        <v>0</v>
      </c>
      <c r="BQ26" s="196" t="b">
        <f>IFERROR(IF(OR(NOT(CZ26),LOWER(TRIM(S$20))=LOWER(TRIM(data2!$U$35))),TRUE,IF(AND(CZ26,LOWER(TRIM(S$20))=LOWER(TRIM(data2!$U$36))),FALSE)),FALSE)</f>
        <v>0</v>
      </c>
      <c r="BR26" s="196" t="b">
        <f t="shared" si="18"/>
        <v>0</v>
      </c>
      <c r="BS26" s="196" t="b">
        <f>IFERROR(IF(OR(NOT(DB26),LOWER(TRIM(U$20))=LOWER(TRIM(data2!$U$35))),TRUE,IF(AND(DB26,LOWER(TRIM(U$20))=LOWER(TRIM(data2!$U$36))),FALSE)),FALSE)</f>
        <v>0</v>
      </c>
      <c r="BT26" s="196" t="b">
        <f t="shared" si="19"/>
        <v>0</v>
      </c>
      <c r="BU26" s="196" t="b">
        <f>IFERROR(IF(OR(NOT(DD26),LOWER(TRIM(W$20))=LOWER(TRIM(data2!$U$35))),TRUE,IF(AND(DD26,LOWER(TRIM(W$20))=LOWER(TRIM(data2!$U$36))),FALSE)),FALSE)</f>
        <v>0</v>
      </c>
      <c r="BV26" s="196" t="b">
        <f t="shared" si="20"/>
        <v>0</v>
      </c>
      <c r="BW26" s="196" t="b">
        <f>IFERROR(IF(OR(NOT(DF26),LOWER(TRIM(Y$20))=LOWER(TRIM(data2!$U$35))),TRUE,IF(AND(DF26,LOWER(TRIM(Y$20))=LOWER(TRIM(data2!$U$36))),FALSE)),FALSE)</f>
        <v>0</v>
      </c>
      <c r="BY26" s="154" t="str">
        <f t="shared" si="21"/>
        <v/>
      </c>
      <c r="BZ26" s="154" t="str">
        <f t="shared" si="22"/>
        <v>1.5.2-E-COI</v>
      </c>
      <c r="CA26" s="154" t="str">
        <f t="shared" si="23"/>
        <v/>
      </c>
      <c r="CB26" s="154" t="str">
        <f t="shared" si="24"/>
        <v>CE26:CI26</v>
      </c>
      <c r="CC26" s="154" t="str">
        <f t="shared" si="25"/>
        <v>CK26:CO26</v>
      </c>
      <c r="CD26" s="154" t="str">
        <f t="shared" si="26"/>
        <v>CQ26:CU26</v>
      </c>
      <c r="CE26" s="359" cm="1">
        <f t="array" ref="CE26">IFERROR(IF($BY26&lt;&gt;"",
IF(AND(teacher_type="R",career_stage="P"),
    IF(INDEX(RPS[[Outstanding]:[Poor]],MATCH($BY26,RPS[[helper]:[helper]],0),CE$19)&lt;&gt;"",CE$20,""),
IF(AND(teacher_type="R",career_stage="HP"),
    IF(INDEX(RHPS[[Outstanding]:[Poor]],MATCH($BY26,RHPS[[helper]:[helper]],0),CE$19)&lt;&gt;"",CE$20,""),
IF(AND(teacher_type="TB",career_stage="P"),
    IF(INDEX(TBPS[[Outstanding]:[Poor]],MATCH($BY26,TBPS[[helper]:[helper]],0),CE$19)&lt;&gt;"",CE$20,""),
IF(AND(teacher_type="TB",career_stage="HP"),
    IF(INDEX(TBHPS[[Outstanding]:[Poor]],MATCH($BY26,TBHPS[[helper]:[helper]],0),CE$19)&lt;&gt;"",CE$20,""),
CE$20)))),
CE$20),CE$20)</f>
        <v>5</v>
      </c>
      <c r="CF26" s="359" cm="1">
        <f t="array" ref="CF26">IFERROR(IF($BY26&lt;&gt;"",
IF(AND(teacher_type="R",career_stage="P"),
    IF(INDEX(RPS[[Outstanding]:[Poor]],MATCH($BY26,RPS[[helper]:[helper]],0),CF$19)&lt;&gt;"",CF$20,""),
IF(AND(teacher_type="R",career_stage="HP"),
    IF(INDEX(RHPS[[Outstanding]:[Poor]],MATCH($BY26,RHPS[[helper]:[helper]],0),CF$19)&lt;&gt;"",CF$20,""),
IF(AND(teacher_type="TB",career_stage="P"),
    IF(INDEX(TBPS[[Outstanding]:[Poor]],MATCH($BY26,TBPS[[helper]:[helper]],0),CF$19)&lt;&gt;"",CF$20,""),
IF(AND(teacher_type="TB",career_stage="HP"),
    IF(INDEX(TBHPS[[Outstanding]:[Poor]],MATCH($BY26,TBHPS[[helper]:[helper]],0),CF$19)&lt;&gt;"",CF$20,""),
CF$20)))),
CF$20),CF$20)</f>
        <v>4</v>
      </c>
      <c r="CG26" s="359" cm="1">
        <f t="array" ref="CG26">IFERROR(IF($BY26&lt;&gt;"",
IF(AND(teacher_type="R",career_stage="P"),
    IF(INDEX(RPS[[Outstanding]:[Poor]],MATCH($BY26,RPS[[helper]:[helper]],0),CG$19)&lt;&gt;"",CG$20,""),
IF(AND(teacher_type="R",career_stage="HP"),
    IF(INDEX(RHPS[[Outstanding]:[Poor]],MATCH($BY26,RHPS[[helper]:[helper]],0),CG$19)&lt;&gt;"",CG$20,""),
IF(AND(teacher_type="TB",career_stage="P"),
    IF(INDEX(TBPS[[Outstanding]:[Poor]],MATCH($BY26,TBPS[[helper]:[helper]],0),CG$19)&lt;&gt;"",CG$20,""),
IF(AND(teacher_type="TB",career_stage="HP"),
    IF(INDEX(TBHPS[[Outstanding]:[Poor]],MATCH($BY26,TBHPS[[helper]:[helper]],0),CG$19)&lt;&gt;"",CG$20,""),
CG$20)))),
CG$20),CG$20)</f>
        <v>3</v>
      </c>
      <c r="CH26" s="359" cm="1">
        <f t="array" ref="CH26">IFERROR(IF($BY26&lt;&gt;"",
IF(AND(teacher_type="R",career_stage="P"),
    IF(INDEX(RPS[[Outstanding]:[Poor]],MATCH($BY26,RPS[[helper]:[helper]],0),CH$19)&lt;&gt;"",CH$20,""),
IF(AND(teacher_type="R",career_stage="HP"),
    IF(INDEX(RHPS[[Outstanding]:[Poor]],MATCH($BY26,RHPS[[helper]:[helper]],0),CH$19)&lt;&gt;"",CH$20,""),
IF(AND(teacher_type="TB",career_stage="P"),
    IF(INDEX(TBPS[[Outstanding]:[Poor]],MATCH($BY26,TBPS[[helper]:[helper]],0),CH$19)&lt;&gt;"",CH$20,""),
IF(AND(teacher_type="TB",career_stage="HP"),
    IF(INDEX(TBHPS[[Outstanding]:[Poor]],MATCH($BY26,TBHPS[[helper]:[helper]],0),CH$19)&lt;&gt;"",CH$20,""),
CH$20)))),
CH$20),CH$20)</f>
        <v>2</v>
      </c>
      <c r="CI26" s="359" cm="1">
        <f t="array" ref="CI26">IFERROR(IF($BY26&lt;&gt;"",
IF(AND(teacher_type="R",career_stage="P"),
    IF(INDEX(RPS[[Outstanding]:[Poor]],MATCH($BY26,RPS[[helper]:[helper]],0),CI$19)&lt;&gt;"",CI$20,""),
IF(AND(teacher_type="R",career_stage="HP"),
    IF(INDEX(RHPS[[Outstanding]:[Poor]],MATCH($BY26,RHPS[[helper]:[helper]],0),CI$19)&lt;&gt;"",CI$20,""),
IF(AND(teacher_type="TB",career_stage="P"),
    IF(INDEX(TBPS[[Outstanding]:[Poor]],MATCH($BY26,TBPS[[helper]:[helper]],0),CI$19)&lt;&gt;"",CI$20,""),
IF(AND(teacher_type="TB",career_stage="HP"),
    IF(INDEX(TBHPS[[Outstanding]:[Poor]],MATCH($BY26,TBHPS[[helper]:[helper]],0),CI$19)&lt;&gt;"",CI$20,""),
CI$20)))),
CI$20),CI$20)</f>
        <v>1</v>
      </c>
      <c r="CJ26" s="360">
        <f t="shared" si="27"/>
        <v>5</v>
      </c>
      <c r="CK26" s="359" cm="1">
        <f t="array" ref="CK26">IFERROR(IF($BZ26&lt;&gt;"",
IF(AND(teacher_type="R",career_stage="P"),
    IF(INDEX(RPS[[Outstanding]:[Poor]],MATCH($BZ26,RPS[[helper]:[helper]],0),CK$19)&lt;&gt;"",CK$20,""),
IF(AND(teacher_type="R",career_stage="HP"),
    IF(INDEX(RHPS[[Outstanding]:[Poor]],MATCH($BZ26,RHPS[[helper]:[helper]],0),CK$19)&lt;&gt;"",CK$20,""),
IF(AND(teacher_type="TB",career_stage="P"),
    IF(INDEX(TBPS[[Outstanding]:[Poor]],MATCH($BZ26,TBPS[[helper]:[helper]],0),CK$19)&lt;&gt;"",CK$20,""),
IF(AND(teacher_type="TB",career_stage="HP"),
    IF(INDEX(TBHPS[[Outstanding]:[Poor]],MATCH($BZ26,TBHPS[[helper]:[helper]],0),CK$19)&lt;&gt;"",CK$20,""),
CK$20)))),
CK$20),CK$20)</f>
        <v>5</v>
      </c>
      <c r="CL26" s="359" t="str" cm="1">
        <f t="array" ref="CL26">IFERROR(IF($BZ26&lt;&gt;"",
IF(AND(teacher_type="R",career_stage="P"),
    IF(INDEX(RPS[[Outstanding]:[Poor]],MATCH($BZ26,RPS[[helper]:[helper]],0),CL$19)&lt;&gt;"",CL$20,""),
IF(AND(teacher_type="R",career_stage="HP"),
    IF(INDEX(RHPS[[Outstanding]:[Poor]],MATCH($BZ26,RHPS[[helper]:[helper]],0),CL$19)&lt;&gt;"",CL$20,""),
IF(AND(teacher_type="TB",career_stage="P"),
    IF(INDEX(TBPS[[Outstanding]:[Poor]],MATCH($BZ26,TBPS[[helper]:[helper]],0),CL$19)&lt;&gt;"",CL$20,""),
IF(AND(teacher_type="TB",career_stage="HP"),
    IF(INDEX(TBHPS[[Outstanding]:[Poor]],MATCH($BZ26,TBHPS[[helper]:[helper]],0),CL$19)&lt;&gt;"",CL$20,""),
CL$20)))),
CL$20),CL$20)</f>
        <v/>
      </c>
      <c r="CM26" s="359" cm="1">
        <f t="array" ref="CM26">IFERROR(IF($BZ26&lt;&gt;"",
IF(AND(teacher_type="R",career_stage="P"),
    IF(INDEX(RPS[[Outstanding]:[Poor]],MATCH($BZ26,RPS[[helper]:[helper]],0),CM$19)&lt;&gt;"",CM$20,""),
IF(AND(teacher_type="R",career_stage="HP"),
    IF(INDEX(RHPS[[Outstanding]:[Poor]],MATCH($BZ26,RHPS[[helper]:[helper]],0),CM$19)&lt;&gt;"",CM$20,""),
IF(AND(teacher_type="TB",career_stage="P"),
    IF(INDEX(TBPS[[Outstanding]:[Poor]],MATCH($BZ26,TBPS[[helper]:[helper]],0),CM$19)&lt;&gt;"",CM$20,""),
IF(AND(teacher_type="TB",career_stage="HP"),
    IF(INDEX(TBHPS[[Outstanding]:[Poor]],MATCH($BZ26,TBHPS[[helper]:[helper]],0),CM$19)&lt;&gt;"",CM$20,""),
CM$20)))),
CM$20),CM$20)</f>
        <v>3</v>
      </c>
      <c r="CN26" s="359" t="str" cm="1">
        <f t="array" ref="CN26">IFERROR(IF($BZ26&lt;&gt;"",
IF(AND(teacher_type="R",career_stage="P"),
    IF(INDEX(RPS[[Outstanding]:[Poor]],MATCH($BZ26,RPS[[helper]:[helper]],0),CN$19)&lt;&gt;"",CN$20,""),
IF(AND(teacher_type="R",career_stage="HP"),
    IF(INDEX(RHPS[[Outstanding]:[Poor]],MATCH($BZ26,RHPS[[helper]:[helper]],0),CN$19)&lt;&gt;"",CN$20,""),
IF(AND(teacher_type="TB",career_stage="P"),
    IF(INDEX(TBPS[[Outstanding]:[Poor]],MATCH($BZ26,TBPS[[helper]:[helper]],0),CN$19)&lt;&gt;"",CN$20,""),
IF(AND(teacher_type="TB",career_stage="HP"),
    IF(INDEX(TBHPS[[Outstanding]:[Poor]],MATCH($BZ26,TBHPS[[helper]:[helper]],0),CN$19)&lt;&gt;"",CN$20,""),
CN$20)))),
CN$20),CN$20)</f>
        <v/>
      </c>
      <c r="CO26" s="359" cm="1">
        <f t="array" ref="CO26">IFERROR(IF($BZ26&lt;&gt;"",
IF(AND(teacher_type="R",career_stage="P"),
    IF(INDEX(RPS[[Outstanding]:[Poor]],MATCH($BZ26,RPS[[helper]:[helper]],0),CO$19)&lt;&gt;"",CO$20,""),
IF(AND(teacher_type="R",career_stage="HP"),
    IF(INDEX(RHPS[[Outstanding]:[Poor]],MATCH($BZ26,RHPS[[helper]:[helper]],0),CO$19)&lt;&gt;"",CO$20,""),
IF(AND(teacher_type="TB",career_stage="P"),
    IF(INDEX(TBPS[[Outstanding]:[Poor]],MATCH($BZ26,TBPS[[helper]:[helper]],0),CO$19)&lt;&gt;"",CO$20,""),
IF(AND(teacher_type="TB",career_stage="HP"),
    IF(INDEX(TBHPS[[Outstanding]:[Poor]],MATCH($BZ26,TBHPS[[helper]:[helper]],0),CO$19)&lt;&gt;"",CO$20,""),
CO$20)))),
CO$20),CO$20)</f>
        <v>1</v>
      </c>
      <c r="CP26" s="360">
        <f t="shared" si="28"/>
        <v>3</v>
      </c>
      <c r="CQ26" s="359" cm="1">
        <f t="array" ref="CQ26">IFERROR(IF($CA26&lt;&gt;"",
IF(AND(teacher_type="R",career_stage="P"),
    IF(INDEX(RPS[[Outstanding]:[Poor]],MATCH($CA26,RPS[[helper]:[helper]],0),CQ$19)&lt;&gt;"",CQ$20,""),
IF(AND(teacher_type="R",career_stage="HP"),
    IF(INDEX(RHPS[[Outstanding]:[Poor]],MATCH($CA26,RHPS[[helper]:[helper]],0),CQ$19)&lt;&gt;"",CQ$20,""),
IF(AND(teacher_type="TB",career_stage="P"),
    IF(INDEX(TBPS[[Outstanding]:[Poor]],MATCH($CA26,TBPS[[helper]:[helper]],0),CQ$19)&lt;&gt;"",CQ$20,""),
IF(AND(teacher_type="TB",career_stage="HP"),
    IF(INDEX(TBHPS[[Outstanding]:[Poor]],MATCH($CA26,TBHPS[[helper]:[helper]],0),CQ$19)&lt;&gt;"",CQ$20,""),
CQ$20)))),
CQ$20),CQ$20)</f>
        <v>5</v>
      </c>
      <c r="CR26" s="359" cm="1">
        <f t="array" ref="CR26">IFERROR(IF($CA26&lt;&gt;"",
IF(AND(teacher_type="R",career_stage="P"),
    IF(INDEX(RPS[[Outstanding]:[Poor]],MATCH($CA26,RPS[[helper]:[helper]],0),CR$19)&lt;&gt;"",CR$20,""),
IF(AND(teacher_type="R",career_stage="HP"),
    IF(INDEX(RHPS[[Outstanding]:[Poor]],MATCH($CA26,RHPS[[helper]:[helper]],0),CR$19)&lt;&gt;"",CR$20,""),
IF(AND(teacher_type="TB",career_stage="P"),
    IF(INDEX(TBPS[[Outstanding]:[Poor]],MATCH($CA26,TBPS[[helper]:[helper]],0),CR$19)&lt;&gt;"",CR$20,""),
IF(AND(teacher_type="TB",career_stage="HP"),
    IF(INDEX(TBHPS[[Outstanding]:[Poor]],MATCH($CA26,TBHPS[[helper]:[helper]],0),CR$19)&lt;&gt;"",CR$20,""),
CR$20)))),
CR$20),CR$20)</f>
        <v>4</v>
      </c>
      <c r="CS26" s="359" cm="1">
        <f t="array" ref="CS26">IFERROR(IF($CA26&lt;&gt;"",
IF(AND(teacher_type="R",career_stage="P"),
    IF(INDEX(RPS[[Outstanding]:[Poor]],MATCH($CA26,RPS[[helper]:[helper]],0),CS$19)&lt;&gt;"",CS$20,""),
IF(AND(teacher_type="R",career_stage="HP"),
    IF(INDEX(RHPS[[Outstanding]:[Poor]],MATCH($CA26,RHPS[[helper]:[helper]],0),CS$19)&lt;&gt;"",CS$20,""),
IF(AND(teacher_type="TB",career_stage="P"),
    IF(INDEX(TBPS[[Outstanding]:[Poor]],MATCH($CA26,TBPS[[helper]:[helper]],0),CS$19)&lt;&gt;"",CS$20,""),
IF(AND(teacher_type="TB",career_stage="HP"),
    IF(INDEX(TBHPS[[Outstanding]:[Poor]],MATCH($CA26,TBHPS[[helper]:[helper]],0),CS$19)&lt;&gt;"",CS$20,""),
CS$20)))),
CS$20),CS$20)</f>
        <v>3</v>
      </c>
      <c r="CT26" s="359" cm="1">
        <f t="array" ref="CT26">IFERROR(IF($CA26&lt;&gt;"",
IF(AND(teacher_type="R",career_stage="P"),
    IF(INDEX(RPS[[Outstanding]:[Poor]],MATCH($CA26,RPS[[helper]:[helper]],0),CT$19)&lt;&gt;"",CT$20,""),
IF(AND(teacher_type="R",career_stage="HP"),
    IF(INDEX(RHPS[[Outstanding]:[Poor]],MATCH($CA26,RHPS[[helper]:[helper]],0),CT$19)&lt;&gt;"",CT$20,""),
IF(AND(teacher_type="TB",career_stage="P"),
    IF(INDEX(TBPS[[Outstanding]:[Poor]],MATCH($CA26,TBPS[[helper]:[helper]],0),CT$19)&lt;&gt;"",CT$20,""),
IF(AND(teacher_type="TB",career_stage="HP"),
    IF(INDEX(TBHPS[[Outstanding]:[Poor]],MATCH($CA26,TBHPS[[helper]:[helper]],0),CT$19)&lt;&gt;"",CT$20,""),
CT$20)))),
CT$20),CT$20)</f>
        <v>2</v>
      </c>
      <c r="CU26" s="359" cm="1">
        <f t="array" ref="CU26">IFERROR(IF($CA26&lt;&gt;"",
IF(AND(teacher_type="R",career_stage="P"),
    IF(INDEX(RPS[[Outstanding]:[Poor]],MATCH($CA26,RPS[[helper]:[helper]],0),CU$19)&lt;&gt;"",CU$20,""),
IF(AND(teacher_type="R",career_stage="HP"),
    IF(INDEX(RHPS[[Outstanding]:[Poor]],MATCH($CA26,RHPS[[helper]:[helper]],0),CU$19)&lt;&gt;"",CU$20,""),
IF(AND(teacher_type="TB",career_stage="P"),
    IF(INDEX(TBPS[[Outstanding]:[Poor]],MATCH($CA26,TBPS[[helper]:[helper]],0),CU$19)&lt;&gt;"",CU$20,""),
IF(AND(teacher_type="TB",career_stage="HP"),
    IF(INDEX(TBHPS[[Outstanding]:[Poor]],MATCH($CA26,TBHPS[[helper]:[helper]],0),CU$19)&lt;&gt;"",CU$20,""),
CU$20)))),
CU$20),CU$20)</f>
        <v>1</v>
      </c>
      <c r="CV26" s="360">
        <f t="shared" si="29"/>
        <v>5</v>
      </c>
      <c r="CY26" s="443" t="b" cm="1">
        <f t="array" ref="CY26">IFERROR(AND(S$12,IF(AND($G26,$D26="COI"),
IF(AND(teacher_type="R",career_stage="P"),VLOOKUP($BF26,RPI[],COLUMN(RPI[cot1]),FALSE),
IF(AND(teacher_type="R",career_stage="HP"),VLOOKUP($BF26,RHPI[],COLUMN(RHPI[cot1]),FALSE),
IF(AND(teacher_type="TB",career_stage="P"),VLOOKUP($BF26,TBPI[],COLUMN(TBPI[cot1]),FALSE),
IF(AND(teacher_type="TB",career_stage="HP"),VLOOKUP($BF26,TBHPI[],COLUMN(TBHPI[cot1]),FALSE),FALSE)))),
FALSE)),FALSE)</f>
        <v>1</v>
      </c>
      <c r="CZ26" s="443" t="b">
        <f t="shared" si="30"/>
        <v>1</v>
      </c>
      <c r="DA26" s="443" t="b" cm="1">
        <f t="array" ref="DA26">IFERROR(AND(U$12,IF(AND($G26,$D26="COI"),
IF(AND(teacher_type="R",career_stage="P"),VLOOKUP($BF26,RPI[],COLUMN(RPI[cot2]),FALSE),
IF(AND(teacher_type="R",career_stage="HP"),VLOOKUP($BF26,RHPI[],COLUMN(RHPI[cot2]),FALSE),
IF(AND(teacher_type="TB",career_stage="P"),VLOOKUP($BF26,TBPI[],COLUMN(TBPI[cot2]),FALSE),
IF(AND(teacher_type="TB",career_stage="HP"),VLOOKUP($BF26,TBHPI[],COLUMN(TBHPI[cot2]),FALSE),FALSE)))),
FALSE)),FALSE)</f>
        <v>1</v>
      </c>
      <c r="DB26" s="443" t="b">
        <f t="shared" si="31"/>
        <v>1</v>
      </c>
      <c r="DC26" s="443" t="b" cm="1">
        <f t="array" ref="DC26">IFERROR(AND(W$12,IF(AND($G26,$D26="COI"),
IF(AND(teacher_type="R",career_stage="P"),VLOOKUP($BF26,RPI[],COLUMN(RPI[cot3]),FALSE),
IF(AND(teacher_type="R",career_stage="HP"),VLOOKUP($BF26,RHPI[],COLUMN(RHPI[cot3]),FALSE),
IF(AND(teacher_type="TB",career_stage="P"),VLOOKUP($BF26,TBPI[],COLUMN(TBPI[cot3]),FALSE),
IF(AND(teacher_type="TB",career_stage="HP"),VLOOKUP($BF26,TBHPI[],COLUMN(TBHPI[cot3]),FALSE),FALSE)))),
FALSE)),FALSE)</f>
        <v>1</v>
      </c>
      <c r="DD26" s="443" t="b">
        <f t="shared" si="32"/>
        <v>1</v>
      </c>
      <c r="DE26" s="443" t="b" cm="1">
        <f t="array" ref="DE26">IFERROR(AND(Y$12,IF(AND($G26,$D26="COI"),
IF(AND(teacher_type="R",career_stage="P"),VLOOKUP($BF26,RPI[],COLUMN(RPI[cot4]),FALSE),
IF(AND(teacher_type="R",career_stage="HP"),VLOOKUP($BF26,RHPI[],COLUMN(RHPI[cot4]),FALSE),
IF(AND(teacher_type="TB",career_stage="P"),VLOOKUP($BF26,TBPI[],COLUMN(TBPI[cot4]),FALSE),
IF(AND(teacher_type="TB",career_stage="HP"),VLOOKUP($BF26,TBHPI[],COLUMN(TBHPI[cot4]),FALSE),FALSE)))),
FALSE)),FALSE)</f>
        <v>1</v>
      </c>
      <c r="DF26" s="443" t="b">
        <f t="shared" si="33"/>
        <v>1</v>
      </c>
      <c r="DG26" s="150">
        <f t="shared" si="34"/>
        <v>4</v>
      </c>
      <c r="DH26" s="154">
        <f>IF(AND(CY26,LOWER(TRIM(S$20))=LOWER(TRIM(data2!$U$35))),1,0) +
IF(AND(DA26,LOWER(TRIM(U$20))=LOWER(TRIM(data2!$U$35))),1,0) +
IF(AND(DC26,LOWER(TRIM(W$20))=LOWER(TRIM(data2!$U$35))),1,0) +
IF(AND(DE26,LOWER(TRIM(Y$20))=LOWER(TRIM(data2!$U$35))),1,0)</f>
        <v>0</v>
      </c>
      <c r="DJ26" s="154">
        <f t="shared" si="35"/>
        <v>4</v>
      </c>
    </row>
    <row r="27" spans="1:116" s="154" customFormat="1" ht="24.95" customHeight="1" x14ac:dyDescent="0.25">
      <c r="A27" s="156"/>
      <c r="B27" s="154">
        <v>6</v>
      </c>
      <c r="C27" s="150" t="str">
        <f>IFERROR(IF(AND(teacher_type="R",career_stage="P"),VLOOKUP(O27,RPI[],COLUMNS(RPI[[Strand]:[admin_selected_coi_ncoi]]),FALSE),IF(AND(teacher_type="R",career_stage="HP"),VLOOKUP(O27,RHPI[],COLUMNS(RHPI[[Strand]:[admin_selected_coi_ncoi]]),FALSE),IF(AND(teacher_type="TB",career_stage="P"),VLOOKUP(O27,TBPI[],COLUMNS(TBPI[[Strand]:[admin_selected_coi_ncoi]]),FALSE),IF(AND(teacher_type="TB",career_stage="HP"),VLOOKUP(O27,TBHPI[],COLUMNS(TBHPI[[Strand]:[admin_selected_coi_ncoi]]),FALSE),"NCOI")))),"NCOI")</f>
        <v>COI</v>
      </c>
      <c r="D27" s="150" t="str">
        <f t="shared" si="10"/>
        <v>COI</v>
      </c>
      <c r="E27" s="150">
        <f>IFERROR(IF(AND(teacher_type="R",career_stage="P"),VLOOKUP($O27,RPI[[Strand]:[Domain]],COLUMNS(RPI[[Strand]:[Domain]]),FALSE),IF(AND(teacher_type="R",career_stage="HP"),VLOOKUP($O27,RHPI[[Strand]:[Domain]],COLUMNS(RHPI[[Strand]:[Domain]]),FALSE),IF(AND(teacher_type="TB",career_stage="P"),VLOOKUP($O27,TBPI[[Strand]:[Domain]],COLUMNS(TBPI[[Strand]:[Domain]]),FALSE),IF(AND(teacher_type="TB",career_stage="HP"),VLOOKUP($O27,TBHPI[[Strand]:[Domain]],COLUMNS(TBHPI[[Strand]:[Domain]]),FALSE),"")))),"")</f>
        <v>1</v>
      </c>
      <c r="F27" s="155" t="b">
        <f>AND(COUNTIFS($E$22:$E27,E27,$G$22:$G27,TRUE)=1,$G27)</f>
        <v>0</v>
      </c>
      <c r="G27" s="212" t="b">
        <f>IFERROR(IF(AND(teacher_type="R",career_stage="P"),VLOOKUP($O27,RPI[],COLUMNS(RPI[[Strand]:[Selected]]),FALSE),IF(AND(teacher_type="R",career_stage="HP"),VLOOKUP($O27,RHPI[],COLUMNS(RHPI[[Strand]:[Selected]]),FALSE),IF(AND(teacher_type="TB",career_stage="P"),VLOOKUP($O27,TBPI[],COLUMNS(TBPI[[Strand]:[Selected]]),FALSE),IF(AND(teacher_type="TB",career_stage="HP"),VLOOKUP($O27,TBHPI[],COLUMNS(TBHPI[[Strand]:[Selected]]),FALSE),FALSE)))),FALSE)</f>
        <v>1</v>
      </c>
      <c r="H27" s="156" t="b">
        <f>IFERROR(IF(AND(teacher_type="R",career_stage="P"),AND(COUNTIFS(RPS[Strand],$O27,RPS[QET],H$21)&gt;0,$G27),IF(AND(teacher_type="R",career_stage="HP"),AND(COUNTIFS(RHPS[Strand],$O27,RHPS[QET],H$21)&gt;0,$G27),IF(AND(teacher_type="TB",career_stage="P"),AND(COUNTIFS(TBPS[Strand],$O27,TBPS[QET],H$21)&gt;0,$G27),IF(AND(teacher_type="TB",career_stage="HP"),AND(COUNTIFS(TBHPS[Strand],$O27,TBHPS[QET],H$21)&gt;0,$G27),FALSE)))),FALSE)</f>
        <v>1</v>
      </c>
      <c r="I27" s="156" t="b">
        <f t="shared" si="11"/>
        <v>0</v>
      </c>
      <c r="J27" s="156" t="b">
        <f>IFERROR(IF(AND(teacher_type="R",career_stage="P"),AND(COUNTIFS(RPS[Strand],$O27,RPS[QET],J$21)&gt;0,$G27),IF(AND(teacher_type="R",career_stage="HP"),AND(COUNTIFS(RHPS[Strand],$O27,RHPS[QET],J$21)&gt;0,$G27),IF(AND(teacher_type="TB",career_stage="P"),AND(COUNTIFS(TBPS[Strand],$O27,TBPS[QET],J$21)&gt;0,$G27),IF(AND(teacher_type="TB",career_stage="HP"),AND(COUNTIFS(TBHPS[Strand],$O27,TBHPS[QET],J$21)&gt;0,$G27),FALSE)))),FALSE)</f>
        <v>1</v>
      </c>
      <c r="K27" s="156" t="b">
        <f>IFERROR(IF(AND(teacher_type="R",career_stage="P"),AND(COUNTIFS(RPS[Strand],$O27,RPS[QET],K$21)&gt;0,$G27),IF(AND(teacher_type="R",career_stage="HP"),AND(COUNTIFS(RHPS[Strand],$O27,RHPS[QET],K$21)&gt;0,$G27),IF(AND(teacher_type="TB",career_stage="P"),AND(COUNTIFS(TBPS[Strand],$O27,TBPS[QET],K$21)&gt;0,$G27),IF(AND(teacher_type="TB",career_stage="HP"),AND(COUNTIFS(TBHPS[Strand],$O27,TBHPS[QET],K$21)&gt;0,$G27),FALSE)))),FALSE)</f>
        <v>0</v>
      </c>
      <c r="L27" s="156" t="b">
        <f t="shared" si="12"/>
        <v>1</v>
      </c>
      <c r="M27" s="165" t="str">
        <f t="shared" si="13"/>
        <v/>
      </c>
      <c r="N27" s="48">
        <f>IF($G27,COUNTIF($G$22:$G27,TRUE),"")</f>
        <v>4</v>
      </c>
      <c r="O27" s="48" t="str" cm="1">
        <f t="array" ref="O27">IFERROR(IF(AND(teacher_type="R",career_stage="P"),INDEX(RPI[Strand],$B27),IF(AND(teacher_type="R",career_stage="HP"),INDEX(RHPI[Strand],$B27),IF(AND(teacher_type="TB",career_stage="P"),INDEX(TBPI[Strand],$B27),IF(AND(teacher_type="TB",career_stage="HP"),INDEX(TBHPI[Strand],$B27),"")))),"")</f>
        <v>1.6.2</v>
      </c>
      <c r="P27" s="166" t="str">
        <f>$C$27</f>
        <v>COI</v>
      </c>
      <c r="Q27" s="167">
        <f>IFERROR(IF(AND(teacher_type="R",career_stage="P"),VLOOKUP(O27,RPI[],COLUMNS(RPI[[Strand]:[Weight]]),FALSE), IF(AND(teacher_type="R",career_stage="HP"),VLOOKUP(O27,RHPI[],COLUMNS(RHPI[[Strand]:[Weight]]),FALSE), IF(AND(teacher_type="TB",career_stage="P"),VLOOKUP(O27,TBPI[],COLUMNS(TBPI[[Strand]:[Weight]]),FALSE), IF(AND(teacher_type="TB",career_stage="HP"),VLOOKUP(O27,TBHPI[],COLUMNS(TBHPI[[Strand]:[Weight]]),FALSE),0)))),0)</f>
        <v>7.0000000000000007E-2</v>
      </c>
      <c r="R27" s="179">
        <f>COUNTIFS($D$22:D27,"COI",$G$22:G27,TRUE)</f>
        <v>4</v>
      </c>
      <c r="S27" s="482">
        <v>7</v>
      </c>
      <c r="T27" s="411">
        <f>IFERROR(IF(LOWER(TRIM(S$20))=LOWER(TRIM(data2!$U$35)),"",IF(AND($G27,$D27="COI",S$12,CZ27),IF(OR(LOWER(TRIM(S$20))=LOWER(TRIM(data2!$U$36)),ISBLANK(S27)),1,IF(career_stage="P",VLOOKUP(S27,P_COT_vlookup,2,FALSE),IF(career_stage="HP",VLOOKUP(S27,HP_COT_vlookup,2,FALSE),""))),"")),"")</f>
        <v>5</v>
      </c>
      <c r="U27" s="489"/>
      <c r="V27" s="170" t="str">
        <f>IFERROR(IF(LOWER(TRIM(U$20))=LOWER(TRIM(data2!$U$35)),"",IF(AND($G27,$D27="COI",U$12,DB27),IF(OR(LOWER(TRIM(U$20))=LOWER(TRIM(data2!$U$36)),ISBLANK(U27)),1,IF(career_stage="P",VLOOKUP(U27,P_COT_vlookup,2,FALSE),IF(career_stage="HP",VLOOKUP(U27,HP_COT_vlookup,2,FALSE),""))),"")),"")</f>
        <v/>
      </c>
      <c r="W27" s="491">
        <v>7</v>
      </c>
      <c r="X27" s="169">
        <f>IFERROR(IF(LOWER(TRIM(W$20))=LOWER(TRIM(data2!$U$35)),"",IF(AND($G27,$D27="COI",W$12,DD27),IF(OR(LOWER(TRIM(W$20))=LOWER(TRIM(data2!$U$36)),ISBLANK(W27)),1,IF(career_stage="P",VLOOKUP(W27,P_COT_vlookup,2,FALSE),IF(career_stage="HP",VLOOKUP(W27,HP_COT_vlookup,2,FALSE),""))),"")),"")</f>
        <v>5</v>
      </c>
      <c r="Y27" s="489"/>
      <c r="Z27" s="170" t="str">
        <f>IFERROR(IF(LOWER(TRIM(Y$20))=LOWER(TRIM(data2!$U$35)),"",IF(AND($G27,$D27="COI",Y$12,DF27),IF(OR(LOWER(TRIM(Y$20))=LOWER(TRIM(data2!$U$36)),ISBLANK(Y27)),1,IF(career_stage="P",VLOOKUP(Y27,P_COT_vlookup,2,FALSE),IF(career_stage="HP",VLOOKUP(Y27,HP_COT_vlookup,2,FALSE),""))),"")),"")</f>
        <v/>
      </c>
      <c r="AA27" s="171">
        <f t="shared" si="14"/>
        <v>5</v>
      </c>
      <c r="AB27" s="471">
        <f>IFERROR(IF(NOT(L22),"",VLOOKUP(ROUNDDOWN($AA$27,3),rating_desc_vlookup,3,TRUE)),1)</f>
        <v>5</v>
      </c>
      <c r="AC27" s="462">
        <v>5</v>
      </c>
      <c r="AD27" s="473"/>
      <c r="AE27" s="49">
        <f t="shared" si="2"/>
        <v>5</v>
      </c>
      <c r="AF27" s="49">
        <f t="shared" si="3"/>
        <v>0.35</v>
      </c>
      <c r="AG27" s="172" t="str">
        <f t="shared" si="4"/>
        <v>Outstanding</v>
      </c>
      <c r="AI27" s="196" t="b">
        <f t="shared" si="5"/>
        <v>1</v>
      </c>
      <c r="AJ27" s="154" t="b">
        <v>1</v>
      </c>
      <c r="AK27" s="154" t="b">
        <v>1</v>
      </c>
      <c r="AL27" s="196" t="b">
        <f t="shared" si="15"/>
        <v>1</v>
      </c>
      <c r="AM27" s="154" t="b">
        <v>1</v>
      </c>
      <c r="AN27" s="196" t="b">
        <f t="shared" si="15"/>
        <v>1</v>
      </c>
      <c r="AO27" s="154" t="b">
        <v>1</v>
      </c>
      <c r="AP27" s="196" t="b">
        <f t="shared" si="15"/>
        <v>1</v>
      </c>
      <c r="AQ27" s="154" t="b">
        <v>1</v>
      </c>
      <c r="AR27" s="196" t="b">
        <f t="shared" si="15"/>
        <v>1</v>
      </c>
      <c r="AS27" s="154" t="b">
        <v>1</v>
      </c>
      <c r="AT27" s="154" t="b">
        <v>1</v>
      </c>
      <c r="AU27" s="196" t="b">
        <f t="shared" si="6"/>
        <v>1</v>
      </c>
      <c r="AV27" s="196" t="b">
        <f t="shared" si="7"/>
        <v>1</v>
      </c>
      <c r="AW27" s="196" t="b">
        <f t="shared" si="8"/>
        <v>1</v>
      </c>
      <c r="AX27" s="47" t="b">
        <v>1</v>
      </c>
      <c r="AY27" s="47" t="b">
        <v>1</v>
      </c>
      <c r="AZ27" s="47" t="b">
        <v>1</v>
      </c>
      <c r="BF27" s="154" t="str">
        <f t="shared" si="9"/>
        <v>1.6.2</v>
      </c>
      <c r="BG27" s="196" t="b" cm="1">
        <f t="array" ref="BG27">IFERROR(IF(OR(LOWER(TRIM(S$20))=LOWER(TRIM(data2!$U$35)),LOWER(TRIM(S$20))=LOWER(TRIM(data2!$U$36))),FALSE,AND(S$12,IF(AND($G27,$D27="COI"),
IF(AND(teacher_type="R",career_stage="P"),VLOOKUP($BF27,RPI[],COLUMN(RPI[cot1]),FALSE),
IF(AND(teacher_type="R",career_stage="HP"),VLOOKUP($BF27,RHPI[],COLUMN(RHPI[cot1]),FALSE),
IF(AND(teacher_type="TB",career_stage="P"),VLOOKUP($BF27,TBPI[],COLUMN(TBPI[cot1]),FALSE),
IF(AND(teacher_type="TB",career_stage="HP"),VLOOKUP($BF27,TBHPI[],COLUMN(TBHPI[cot1]),FALSE),FALSE)))),
FALSE))),FALSE)</f>
        <v>1</v>
      </c>
      <c r="BH27" s="154" t="b">
        <v>0</v>
      </c>
      <c r="BI27" s="196" t="b" cm="1">
        <f t="array" ref="BI27">IFERROR(IF(OR(LOWER(TRIM(U$20))=LOWER(TRIM(data2!$U$35)),LOWER(TRIM(U$20))=LOWER(TRIM(data2!$U$36))),FALSE,AND(U$12,IF(AND($G27,$D27="COI"),
IF(AND(teacher_type="R",career_stage="P"),VLOOKUP($BF27,RPI[],COLUMN(RPI[cot2]),FALSE),
IF(AND(teacher_type="R",career_stage="HP"),VLOOKUP($BF27,RHPI[],COLUMN(RHPI[cot2]),FALSE),
IF(AND(teacher_type="TB",career_stage="P"),VLOOKUP($BF27,TBPI[],COLUMN(TBPI[cot2]),FALSE),
IF(AND(teacher_type="TB",career_stage="HP"),VLOOKUP($BF27,TBHPI[],COLUMN(TBHPI[cot2]),FALSE),FALSE)))),
FALSE))),FALSE)</f>
        <v>0</v>
      </c>
      <c r="BJ27" s="154" t="b">
        <v>0</v>
      </c>
      <c r="BK27" s="196" t="b" cm="1">
        <f t="array" ref="BK27">IFERROR(IF(OR(LOWER(TRIM(W$20))=LOWER(TRIM(data2!$U$35)),LOWER(TRIM(W$20))=LOWER(TRIM(data2!$U$36))),FALSE,AND(W$12,IF(AND($G27,$D27="COI"),
IF(AND(teacher_type="R",career_stage="P"),VLOOKUP($BF27,RPI[],COLUMN(RPI[cot3]),FALSE),
IF(AND(teacher_type="R",career_stage="HP"),VLOOKUP($BF27,RHPI[],COLUMN(RHPI[cot3]),FALSE),
IF(AND(teacher_type="TB",career_stage="P"),VLOOKUP($BF27,TBPI[],COLUMN(TBPI[cot3]),FALSE),
IF(AND(teacher_type="TB",career_stage="HP"),VLOOKUP($BF27,TBHPI[],COLUMN(TBHPI[cot3]),FALSE),FALSE)))),
FALSE))),FALSE)</f>
        <v>1</v>
      </c>
      <c r="BL27" s="154" t="b">
        <v>0</v>
      </c>
      <c r="BM27" s="196" t="b" cm="1">
        <f t="array" ref="BM27">IFERROR(IF(OR(LOWER(TRIM(Y$20))=LOWER(TRIM(data2!$U$35)),LOWER(TRIM(Y$20))=LOWER(TRIM(data2!$U$36))),FALSE,AND(Y$12,IF(AND($G27,$D27="COI"),
IF(AND(teacher_type="R",career_stage="P"),VLOOKUP($BF27,RPI[],COLUMN(RPI[cot4]),FALSE),
IF(AND(teacher_type="R",career_stage="HP"),VLOOKUP($BF27,RHPI[],COLUMN(RHPI[cot4]),FALSE),
IF(AND(teacher_type="TB",career_stage="P"),VLOOKUP($BF27,TBPI[],COLUMN(TBPI[cot4]),FALSE),
IF(AND(teacher_type="TB",career_stage="HP"),VLOOKUP($BF27,TBHPI[],COLUMN(TBHPI[cot4]),FALSE),FALSE)))),
FALSE))),FALSE)</f>
        <v>0</v>
      </c>
      <c r="BN27" s="154" t="b">
        <v>0</v>
      </c>
      <c r="BO27" s="150">
        <f t="shared" si="16"/>
        <v>2</v>
      </c>
      <c r="BP27" s="196" t="b">
        <f t="shared" si="17"/>
        <v>0</v>
      </c>
      <c r="BQ27" s="196" t="b">
        <f>IFERROR(IF(OR(NOT(CZ27),LOWER(TRIM(S$20))=LOWER(TRIM(data2!$U$35))),TRUE,IF(AND(CZ27,LOWER(TRIM(S$20))=LOWER(TRIM(data2!$U$36))),FALSE)),FALSE)</f>
        <v>0</v>
      </c>
      <c r="BR27" s="196" t="b">
        <f t="shared" si="18"/>
        <v>1</v>
      </c>
      <c r="BS27" s="196" t="b">
        <f>IFERROR(IF(OR(NOT(DB27),LOWER(TRIM(U$20))=LOWER(TRIM(data2!$U$35))),TRUE,IF(AND(DB27,LOWER(TRIM(U$20))=LOWER(TRIM(data2!$U$36))),FALSE)),FALSE)</f>
        <v>1</v>
      </c>
      <c r="BT27" s="196" t="b">
        <f t="shared" si="19"/>
        <v>0</v>
      </c>
      <c r="BU27" s="196" t="b">
        <f>IFERROR(IF(OR(NOT(DD27),LOWER(TRIM(W$20))=LOWER(TRIM(data2!$U$35))),TRUE,IF(AND(DD27,LOWER(TRIM(W$20))=LOWER(TRIM(data2!$U$36))),FALSE)),FALSE)</f>
        <v>0</v>
      </c>
      <c r="BV27" s="196" t="b">
        <f t="shared" si="20"/>
        <v>1</v>
      </c>
      <c r="BW27" s="196" t="b">
        <f>IFERROR(IF(OR(NOT(DF27),LOWER(TRIM(Y$20))=LOWER(TRIM(data2!$U$35))),TRUE,IF(AND(DF27,LOWER(TRIM(Y$20))=LOWER(TRIM(data2!$U$36))),FALSE)),FALSE)</f>
        <v>1</v>
      </c>
      <c r="BY27" s="154" t="str">
        <f t="shared" si="21"/>
        <v/>
      </c>
      <c r="BZ27" s="154" t="str">
        <f t="shared" si="22"/>
        <v>1.6.2-E-COI</v>
      </c>
      <c r="CA27" s="154" t="str">
        <f t="shared" si="23"/>
        <v/>
      </c>
      <c r="CB27" s="154" t="str">
        <f t="shared" si="24"/>
        <v>CE27:CI27</v>
      </c>
      <c r="CC27" s="154" t="str">
        <f t="shared" si="25"/>
        <v>CK27:CO27</v>
      </c>
      <c r="CD27" s="154" t="str">
        <f t="shared" si="26"/>
        <v>CQ27:CU27</v>
      </c>
      <c r="CE27" s="359" cm="1">
        <f t="array" ref="CE27">IFERROR(IF($BY27&lt;&gt;"",
IF(AND(teacher_type="R",career_stage="P"),
    IF(INDEX(RPS[[Outstanding]:[Poor]],MATCH($BY27,RPS[[helper]:[helper]],0),CE$19)&lt;&gt;"",CE$20,""),
IF(AND(teacher_type="R",career_stage="HP"),
    IF(INDEX(RHPS[[Outstanding]:[Poor]],MATCH($BY27,RHPS[[helper]:[helper]],0),CE$19)&lt;&gt;"",CE$20,""),
IF(AND(teacher_type="TB",career_stage="P"),
    IF(INDEX(TBPS[[Outstanding]:[Poor]],MATCH($BY27,TBPS[[helper]:[helper]],0),CE$19)&lt;&gt;"",CE$20,""),
IF(AND(teacher_type="TB",career_stage="HP"),
    IF(INDEX(TBHPS[[Outstanding]:[Poor]],MATCH($BY27,TBHPS[[helper]:[helper]],0),CE$19)&lt;&gt;"",CE$20,""),
CE$20)))),
CE$20),CE$20)</f>
        <v>5</v>
      </c>
      <c r="CF27" s="359" cm="1">
        <f t="array" ref="CF27">IFERROR(IF($BY27&lt;&gt;"",
IF(AND(teacher_type="R",career_stage="P"),
    IF(INDEX(RPS[[Outstanding]:[Poor]],MATCH($BY27,RPS[[helper]:[helper]],0),CF$19)&lt;&gt;"",CF$20,""),
IF(AND(teacher_type="R",career_stage="HP"),
    IF(INDEX(RHPS[[Outstanding]:[Poor]],MATCH($BY27,RHPS[[helper]:[helper]],0),CF$19)&lt;&gt;"",CF$20,""),
IF(AND(teacher_type="TB",career_stage="P"),
    IF(INDEX(TBPS[[Outstanding]:[Poor]],MATCH($BY27,TBPS[[helper]:[helper]],0),CF$19)&lt;&gt;"",CF$20,""),
IF(AND(teacher_type="TB",career_stage="HP"),
    IF(INDEX(TBHPS[[Outstanding]:[Poor]],MATCH($BY27,TBHPS[[helper]:[helper]],0),CF$19)&lt;&gt;"",CF$20,""),
CF$20)))),
CF$20),CF$20)</f>
        <v>4</v>
      </c>
      <c r="CG27" s="359" cm="1">
        <f t="array" ref="CG27">IFERROR(IF($BY27&lt;&gt;"",
IF(AND(teacher_type="R",career_stage="P"),
    IF(INDEX(RPS[[Outstanding]:[Poor]],MATCH($BY27,RPS[[helper]:[helper]],0),CG$19)&lt;&gt;"",CG$20,""),
IF(AND(teacher_type="R",career_stage="HP"),
    IF(INDEX(RHPS[[Outstanding]:[Poor]],MATCH($BY27,RHPS[[helper]:[helper]],0),CG$19)&lt;&gt;"",CG$20,""),
IF(AND(teacher_type="TB",career_stage="P"),
    IF(INDEX(TBPS[[Outstanding]:[Poor]],MATCH($BY27,TBPS[[helper]:[helper]],0),CG$19)&lt;&gt;"",CG$20,""),
IF(AND(teacher_type="TB",career_stage="HP"),
    IF(INDEX(TBHPS[[Outstanding]:[Poor]],MATCH($BY27,TBHPS[[helper]:[helper]],0),CG$19)&lt;&gt;"",CG$20,""),
CG$20)))),
CG$20),CG$20)</f>
        <v>3</v>
      </c>
      <c r="CH27" s="359" cm="1">
        <f t="array" ref="CH27">IFERROR(IF($BY27&lt;&gt;"",
IF(AND(teacher_type="R",career_stage="P"),
    IF(INDEX(RPS[[Outstanding]:[Poor]],MATCH($BY27,RPS[[helper]:[helper]],0),CH$19)&lt;&gt;"",CH$20,""),
IF(AND(teacher_type="R",career_stage="HP"),
    IF(INDEX(RHPS[[Outstanding]:[Poor]],MATCH($BY27,RHPS[[helper]:[helper]],0),CH$19)&lt;&gt;"",CH$20,""),
IF(AND(teacher_type="TB",career_stage="P"),
    IF(INDEX(TBPS[[Outstanding]:[Poor]],MATCH($BY27,TBPS[[helper]:[helper]],0),CH$19)&lt;&gt;"",CH$20,""),
IF(AND(teacher_type="TB",career_stage="HP"),
    IF(INDEX(TBHPS[[Outstanding]:[Poor]],MATCH($BY27,TBHPS[[helper]:[helper]],0),CH$19)&lt;&gt;"",CH$20,""),
CH$20)))),
CH$20),CH$20)</f>
        <v>2</v>
      </c>
      <c r="CI27" s="359" cm="1">
        <f t="array" ref="CI27">IFERROR(IF($BY27&lt;&gt;"",
IF(AND(teacher_type="R",career_stage="P"),
    IF(INDEX(RPS[[Outstanding]:[Poor]],MATCH($BY27,RPS[[helper]:[helper]],0),CI$19)&lt;&gt;"",CI$20,""),
IF(AND(teacher_type="R",career_stage="HP"),
    IF(INDEX(RHPS[[Outstanding]:[Poor]],MATCH($BY27,RHPS[[helper]:[helper]],0),CI$19)&lt;&gt;"",CI$20,""),
IF(AND(teacher_type="TB",career_stage="P"),
    IF(INDEX(TBPS[[Outstanding]:[Poor]],MATCH($BY27,TBPS[[helper]:[helper]],0),CI$19)&lt;&gt;"",CI$20,""),
IF(AND(teacher_type="TB",career_stage="HP"),
    IF(INDEX(TBHPS[[Outstanding]:[Poor]],MATCH($BY27,TBHPS[[helper]:[helper]],0),CI$19)&lt;&gt;"",CI$20,""),
CI$20)))),
CI$20),CI$20)</f>
        <v>1</v>
      </c>
      <c r="CJ27" s="360">
        <f t="shared" si="27"/>
        <v>5</v>
      </c>
      <c r="CK27" s="359" cm="1">
        <f t="array" ref="CK27">IFERROR(IF($BZ27&lt;&gt;"",
IF(AND(teacher_type="R",career_stage="P"),
    IF(INDEX(RPS[[Outstanding]:[Poor]],MATCH($BZ27,RPS[[helper]:[helper]],0),CK$19)&lt;&gt;"",CK$20,""),
IF(AND(teacher_type="R",career_stage="HP"),
    IF(INDEX(RHPS[[Outstanding]:[Poor]],MATCH($BZ27,RHPS[[helper]:[helper]],0),CK$19)&lt;&gt;"",CK$20,""),
IF(AND(teacher_type="TB",career_stage="P"),
    IF(INDEX(TBPS[[Outstanding]:[Poor]],MATCH($BZ27,TBPS[[helper]:[helper]],0),CK$19)&lt;&gt;"",CK$20,""),
IF(AND(teacher_type="TB",career_stage="HP"),
    IF(INDEX(TBHPS[[Outstanding]:[Poor]],MATCH($BZ27,TBHPS[[helper]:[helper]],0),CK$19)&lt;&gt;"",CK$20,""),
CK$20)))),
CK$20),CK$20)</f>
        <v>5</v>
      </c>
      <c r="CL27" s="359" t="str" cm="1">
        <f t="array" ref="CL27">IFERROR(IF($BZ27&lt;&gt;"",
IF(AND(teacher_type="R",career_stage="P"),
    IF(INDEX(RPS[[Outstanding]:[Poor]],MATCH($BZ27,RPS[[helper]:[helper]],0),CL$19)&lt;&gt;"",CL$20,""),
IF(AND(teacher_type="R",career_stage="HP"),
    IF(INDEX(RHPS[[Outstanding]:[Poor]],MATCH($BZ27,RHPS[[helper]:[helper]],0),CL$19)&lt;&gt;"",CL$20,""),
IF(AND(teacher_type="TB",career_stage="P"),
    IF(INDEX(TBPS[[Outstanding]:[Poor]],MATCH($BZ27,TBPS[[helper]:[helper]],0),CL$19)&lt;&gt;"",CL$20,""),
IF(AND(teacher_type="TB",career_stage="HP"),
    IF(INDEX(TBHPS[[Outstanding]:[Poor]],MATCH($BZ27,TBHPS[[helper]:[helper]],0),CL$19)&lt;&gt;"",CL$20,""),
CL$20)))),
CL$20),CL$20)</f>
        <v/>
      </c>
      <c r="CM27" s="359" cm="1">
        <f t="array" ref="CM27">IFERROR(IF($BZ27&lt;&gt;"",
IF(AND(teacher_type="R",career_stage="P"),
    IF(INDEX(RPS[[Outstanding]:[Poor]],MATCH($BZ27,RPS[[helper]:[helper]],0),CM$19)&lt;&gt;"",CM$20,""),
IF(AND(teacher_type="R",career_stage="HP"),
    IF(INDEX(RHPS[[Outstanding]:[Poor]],MATCH($BZ27,RHPS[[helper]:[helper]],0),CM$19)&lt;&gt;"",CM$20,""),
IF(AND(teacher_type="TB",career_stage="P"),
    IF(INDEX(TBPS[[Outstanding]:[Poor]],MATCH($BZ27,TBPS[[helper]:[helper]],0),CM$19)&lt;&gt;"",CM$20,""),
IF(AND(teacher_type="TB",career_stage="HP"),
    IF(INDEX(TBHPS[[Outstanding]:[Poor]],MATCH($BZ27,TBHPS[[helper]:[helper]],0),CM$19)&lt;&gt;"",CM$20,""),
CM$20)))),
CM$20),CM$20)</f>
        <v>3</v>
      </c>
      <c r="CN27" s="359" t="str" cm="1">
        <f t="array" ref="CN27">IFERROR(IF($BZ27&lt;&gt;"",
IF(AND(teacher_type="R",career_stage="P"),
    IF(INDEX(RPS[[Outstanding]:[Poor]],MATCH($BZ27,RPS[[helper]:[helper]],0),CN$19)&lt;&gt;"",CN$20,""),
IF(AND(teacher_type="R",career_stage="HP"),
    IF(INDEX(RHPS[[Outstanding]:[Poor]],MATCH($BZ27,RHPS[[helper]:[helper]],0),CN$19)&lt;&gt;"",CN$20,""),
IF(AND(teacher_type="TB",career_stage="P"),
    IF(INDEX(TBPS[[Outstanding]:[Poor]],MATCH($BZ27,TBPS[[helper]:[helper]],0),CN$19)&lt;&gt;"",CN$20,""),
IF(AND(teacher_type="TB",career_stage="HP"),
    IF(INDEX(TBHPS[[Outstanding]:[Poor]],MATCH($BZ27,TBHPS[[helper]:[helper]],0),CN$19)&lt;&gt;"",CN$20,""),
CN$20)))),
CN$20),CN$20)</f>
        <v/>
      </c>
      <c r="CO27" s="359" cm="1">
        <f t="array" ref="CO27">IFERROR(IF($BZ27&lt;&gt;"",
IF(AND(teacher_type="R",career_stage="P"),
    IF(INDEX(RPS[[Outstanding]:[Poor]],MATCH($BZ27,RPS[[helper]:[helper]],0),CO$19)&lt;&gt;"",CO$20,""),
IF(AND(teacher_type="R",career_stage="HP"),
    IF(INDEX(RHPS[[Outstanding]:[Poor]],MATCH($BZ27,RHPS[[helper]:[helper]],0),CO$19)&lt;&gt;"",CO$20,""),
IF(AND(teacher_type="TB",career_stage="P"),
    IF(INDEX(TBPS[[Outstanding]:[Poor]],MATCH($BZ27,TBPS[[helper]:[helper]],0),CO$19)&lt;&gt;"",CO$20,""),
IF(AND(teacher_type="TB",career_stage="HP"),
    IF(INDEX(TBHPS[[Outstanding]:[Poor]],MATCH($BZ27,TBHPS[[helper]:[helper]],0),CO$19)&lt;&gt;"",CO$20,""),
CO$20)))),
CO$20),CO$20)</f>
        <v>1</v>
      </c>
      <c r="CP27" s="360">
        <f t="shared" si="28"/>
        <v>3</v>
      </c>
      <c r="CQ27" s="359" cm="1">
        <f t="array" ref="CQ27">IFERROR(IF($CA27&lt;&gt;"",
IF(AND(teacher_type="R",career_stage="P"),
    IF(INDEX(RPS[[Outstanding]:[Poor]],MATCH($CA27,RPS[[helper]:[helper]],0),CQ$19)&lt;&gt;"",CQ$20,""),
IF(AND(teacher_type="R",career_stage="HP"),
    IF(INDEX(RHPS[[Outstanding]:[Poor]],MATCH($CA27,RHPS[[helper]:[helper]],0),CQ$19)&lt;&gt;"",CQ$20,""),
IF(AND(teacher_type="TB",career_stage="P"),
    IF(INDEX(TBPS[[Outstanding]:[Poor]],MATCH($CA27,TBPS[[helper]:[helper]],0),CQ$19)&lt;&gt;"",CQ$20,""),
IF(AND(teacher_type="TB",career_stage="HP"),
    IF(INDEX(TBHPS[[Outstanding]:[Poor]],MATCH($CA27,TBHPS[[helper]:[helper]],0),CQ$19)&lt;&gt;"",CQ$20,""),
CQ$20)))),
CQ$20),CQ$20)</f>
        <v>5</v>
      </c>
      <c r="CR27" s="359" cm="1">
        <f t="array" ref="CR27">IFERROR(IF($CA27&lt;&gt;"",
IF(AND(teacher_type="R",career_stage="P"),
    IF(INDEX(RPS[[Outstanding]:[Poor]],MATCH($CA27,RPS[[helper]:[helper]],0),CR$19)&lt;&gt;"",CR$20,""),
IF(AND(teacher_type="R",career_stage="HP"),
    IF(INDEX(RHPS[[Outstanding]:[Poor]],MATCH($CA27,RHPS[[helper]:[helper]],0),CR$19)&lt;&gt;"",CR$20,""),
IF(AND(teacher_type="TB",career_stage="P"),
    IF(INDEX(TBPS[[Outstanding]:[Poor]],MATCH($CA27,TBPS[[helper]:[helper]],0),CR$19)&lt;&gt;"",CR$20,""),
IF(AND(teacher_type="TB",career_stage="HP"),
    IF(INDEX(TBHPS[[Outstanding]:[Poor]],MATCH($CA27,TBHPS[[helper]:[helper]],0),CR$19)&lt;&gt;"",CR$20,""),
CR$20)))),
CR$20),CR$20)</f>
        <v>4</v>
      </c>
      <c r="CS27" s="359" cm="1">
        <f t="array" ref="CS27">IFERROR(IF($CA27&lt;&gt;"",
IF(AND(teacher_type="R",career_stage="P"),
    IF(INDEX(RPS[[Outstanding]:[Poor]],MATCH($CA27,RPS[[helper]:[helper]],0),CS$19)&lt;&gt;"",CS$20,""),
IF(AND(teacher_type="R",career_stage="HP"),
    IF(INDEX(RHPS[[Outstanding]:[Poor]],MATCH($CA27,RHPS[[helper]:[helper]],0),CS$19)&lt;&gt;"",CS$20,""),
IF(AND(teacher_type="TB",career_stage="P"),
    IF(INDEX(TBPS[[Outstanding]:[Poor]],MATCH($CA27,TBPS[[helper]:[helper]],0),CS$19)&lt;&gt;"",CS$20,""),
IF(AND(teacher_type="TB",career_stage="HP"),
    IF(INDEX(TBHPS[[Outstanding]:[Poor]],MATCH($CA27,TBHPS[[helper]:[helper]],0),CS$19)&lt;&gt;"",CS$20,""),
CS$20)))),
CS$20),CS$20)</f>
        <v>3</v>
      </c>
      <c r="CT27" s="359" cm="1">
        <f t="array" ref="CT27">IFERROR(IF($CA27&lt;&gt;"",
IF(AND(teacher_type="R",career_stage="P"),
    IF(INDEX(RPS[[Outstanding]:[Poor]],MATCH($CA27,RPS[[helper]:[helper]],0),CT$19)&lt;&gt;"",CT$20,""),
IF(AND(teacher_type="R",career_stage="HP"),
    IF(INDEX(RHPS[[Outstanding]:[Poor]],MATCH($CA27,RHPS[[helper]:[helper]],0),CT$19)&lt;&gt;"",CT$20,""),
IF(AND(teacher_type="TB",career_stage="P"),
    IF(INDEX(TBPS[[Outstanding]:[Poor]],MATCH($CA27,TBPS[[helper]:[helper]],0),CT$19)&lt;&gt;"",CT$20,""),
IF(AND(teacher_type="TB",career_stage="HP"),
    IF(INDEX(TBHPS[[Outstanding]:[Poor]],MATCH($CA27,TBHPS[[helper]:[helper]],0),CT$19)&lt;&gt;"",CT$20,""),
CT$20)))),
CT$20),CT$20)</f>
        <v>2</v>
      </c>
      <c r="CU27" s="359" cm="1">
        <f t="array" ref="CU27">IFERROR(IF($CA27&lt;&gt;"",
IF(AND(teacher_type="R",career_stage="P"),
    IF(INDEX(RPS[[Outstanding]:[Poor]],MATCH($CA27,RPS[[helper]:[helper]],0),CU$19)&lt;&gt;"",CU$20,""),
IF(AND(teacher_type="R",career_stage="HP"),
    IF(INDEX(RHPS[[Outstanding]:[Poor]],MATCH($CA27,RHPS[[helper]:[helper]],0),CU$19)&lt;&gt;"",CU$20,""),
IF(AND(teacher_type="TB",career_stage="P"),
    IF(INDEX(TBPS[[Outstanding]:[Poor]],MATCH($CA27,TBPS[[helper]:[helper]],0),CU$19)&lt;&gt;"",CU$20,""),
IF(AND(teacher_type="TB",career_stage="HP"),
    IF(INDEX(TBHPS[[Outstanding]:[Poor]],MATCH($CA27,TBHPS[[helper]:[helper]],0),CU$19)&lt;&gt;"",CU$20,""),
CU$20)))),
CU$20),CU$20)</f>
        <v>1</v>
      </c>
      <c r="CV27" s="360">
        <f t="shared" si="29"/>
        <v>5</v>
      </c>
      <c r="CY27" s="443" t="b" cm="1">
        <f t="array" ref="CY27">IFERROR(AND(S$12,IF(AND($G27,$D27="COI"),
IF(AND(teacher_type="R",career_stage="P"),VLOOKUP($BF27,RPI[],COLUMN(RPI[cot1]),FALSE),
IF(AND(teacher_type="R",career_stage="HP"),VLOOKUP($BF27,RHPI[],COLUMN(RHPI[cot1]),FALSE),
IF(AND(teacher_type="TB",career_stage="P"),VLOOKUP($BF27,TBPI[],COLUMN(TBPI[cot1]),FALSE),
IF(AND(teacher_type="TB",career_stage="HP"),VLOOKUP($BF27,TBHPI[],COLUMN(TBHPI[cot1]),FALSE),FALSE)))),
FALSE)),FALSE)</f>
        <v>1</v>
      </c>
      <c r="CZ27" s="443" t="b">
        <f t="shared" si="30"/>
        <v>1</v>
      </c>
      <c r="DA27" s="443" t="b" cm="1">
        <f t="array" ref="DA27">IFERROR(AND(U$12,IF(AND($G27,$D27="COI"),
IF(AND(teacher_type="R",career_stage="P"),VLOOKUP($BF27,RPI[],COLUMN(RPI[cot2]),FALSE),
IF(AND(teacher_type="R",career_stage="HP"),VLOOKUP($BF27,RHPI[],COLUMN(RHPI[cot2]),FALSE),
IF(AND(teacher_type="TB",career_stage="P"),VLOOKUP($BF27,TBPI[],COLUMN(TBPI[cot2]),FALSE),
IF(AND(teacher_type="TB",career_stage="HP"),VLOOKUP($BF27,TBHPI[],COLUMN(TBHPI[cot2]),FALSE),FALSE)))),
FALSE)),FALSE)</f>
        <v>0</v>
      </c>
      <c r="DB27" s="443" t="b">
        <f t="shared" si="31"/>
        <v>0</v>
      </c>
      <c r="DC27" s="443" t="b" cm="1">
        <f t="array" ref="DC27">IFERROR(AND(W$12,IF(AND($G27,$D27="COI"),
IF(AND(teacher_type="R",career_stage="P"),VLOOKUP($BF27,RPI[],COLUMN(RPI[cot3]),FALSE),
IF(AND(teacher_type="R",career_stage="HP"),VLOOKUP($BF27,RHPI[],COLUMN(RHPI[cot3]),FALSE),
IF(AND(teacher_type="TB",career_stage="P"),VLOOKUP($BF27,TBPI[],COLUMN(TBPI[cot3]),FALSE),
IF(AND(teacher_type="TB",career_stage="HP"),VLOOKUP($BF27,TBHPI[],COLUMN(TBHPI[cot3]),FALSE),FALSE)))),
FALSE)),FALSE)</f>
        <v>1</v>
      </c>
      <c r="DD27" s="443" t="b">
        <f t="shared" si="32"/>
        <v>1</v>
      </c>
      <c r="DE27" s="443" t="b" cm="1">
        <f t="array" ref="DE27">IFERROR(AND(Y$12,IF(AND($G27,$D27="COI"),
IF(AND(teacher_type="R",career_stage="P"),VLOOKUP($BF27,RPI[],COLUMN(RPI[cot4]),FALSE),
IF(AND(teacher_type="R",career_stage="HP"),VLOOKUP($BF27,RHPI[],COLUMN(RHPI[cot4]),FALSE),
IF(AND(teacher_type="TB",career_stage="P"),VLOOKUP($BF27,TBPI[],COLUMN(TBPI[cot4]),FALSE),
IF(AND(teacher_type="TB",career_stage="HP"),VLOOKUP($BF27,TBHPI[],COLUMN(TBHPI[cot4]),FALSE),FALSE)))),
FALSE)),FALSE)</f>
        <v>0</v>
      </c>
      <c r="DF27" s="443" t="b">
        <f t="shared" si="33"/>
        <v>0</v>
      </c>
      <c r="DG27" s="150">
        <f t="shared" si="34"/>
        <v>2</v>
      </c>
      <c r="DH27" s="154">
        <f>IF(AND(CY27,LOWER(TRIM(S$20))=LOWER(TRIM(data2!$U$35))),1,0) +
IF(AND(DA27,LOWER(TRIM(U$20))=LOWER(TRIM(data2!$U$35))),1,0) +
IF(AND(DC27,LOWER(TRIM(W$20))=LOWER(TRIM(data2!$U$35))),1,0) +
IF(AND(DE27,LOWER(TRIM(Y$20))=LOWER(TRIM(data2!$U$35))),1,0)</f>
        <v>0</v>
      </c>
      <c r="DJ27" s="154">
        <f t="shared" si="35"/>
        <v>2</v>
      </c>
    </row>
    <row r="28" spans="1:116" s="154" customFormat="1" ht="24.95" hidden="1" customHeight="1" x14ac:dyDescent="0.25">
      <c r="A28" s="156"/>
      <c r="B28" s="154">
        <v>7</v>
      </c>
      <c r="C28" s="150" t="str">
        <f>IFERROR(IF(AND(teacher_type="R",career_stage="P"),VLOOKUP(O28,RPI[],COLUMNS(RPI[[Strand]:[admin_selected_coi_ncoi]]),FALSE),IF(AND(teacher_type="R",career_stage="HP"),VLOOKUP(O28,RHPI[],COLUMNS(RHPI[[Strand]:[admin_selected_coi_ncoi]]),FALSE),IF(AND(teacher_type="TB",career_stage="P"),VLOOKUP(O28,TBPI[],COLUMNS(TBPI[[Strand]:[admin_selected_coi_ncoi]]),FALSE),IF(AND(teacher_type="TB",career_stage="HP"),VLOOKUP(O28,TBHPI[],COLUMNS(TBHPI[[Strand]:[admin_selected_coi_ncoi]]),FALSE),"NCOI")))),"NCOI")</f>
        <v>COI</v>
      </c>
      <c r="D28" s="150" t="str">
        <f t="shared" si="10"/>
        <v/>
      </c>
      <c r="E28" s="150">
        <f>IFERROR(IF(AND(teacher_type="R",career_stage="P"),VLOOKUP($O28,RPI[[Strand]:[Domain]],COLUMNS(RPI[[Strand]:[Domain]]),FALSE),IF(AND(teacher_type="R",career_stage="HP"),VLOOKUP($O28,RHPI[[Strand]:[Domain]],COLUMNS(RHPI[[Strand]:[Domain]]),FALSE),IF(AND(teacher_type="TB",career_stage="P"),VLOOKUP($O28,TBPI[[Strand]:[Domain]],COLUMNS(TBPI[[Strand]:[Domain]]),FALSE),IF(AND(teacher_type="TB",career_stage="HP"),VLOOKUP($O28,TBHPI[[Strand]:[Domain]],COLUMNS(TBHPI[[Strand]:[Domain]]),FALSE),"")))),"")</f>
        <v>1</v>
      </c>
      <c r="F28" s="155" t="b">
        <f>AND(COUNTIFS($E$22:$E28,E28,$G$22:$G28,TRUE)=1,$G28)</f>
        <v>0</v>
      </c>
      <c r="G28" s="212" t="b">
        <f>IFERROR(IF(AND(teacher_type="R",career_stage="P"),VLOOKUP($O28,RPI[],COLUMNS(RPI[[Strand]:[Selected]]),FALSE),IF(AND(teacher_type="R",career_stage="HP"),VLOOKUP($O28,RHPI[],COLUMNS(RHPI[[Strand]:[Selected]]),FALSE),IF(AND(teacher_type="TB",career_stage="P"),VLOOKUP($O28,TBPI[],COLUMNS(TBPI[[Strand]:[Selected]]),FALSE),IF(AND(teacher_type="TB",career_stage="HP"),VLOOKUP($O28,TBHPI[],COLUMNS(TBHPI[[Strand]:[Selected]]),FALSE),FALSE)))),FALSE)</f>
        <v>0</v>
      </c>
      <c r="H28" s="156" t="b">
        <f>IFERROR(IF(AND(teacher_type="R",career_stage="P"),AND(COUNTIFS(RPS[Strand],$O28,RPS[QET],H$21)&gt;0,$G28),IF(AND(teacher_type="R",career_stage="HP"),AND(COUNTIFS(RHPS[Strand],$O28,RHPS[QET],H$21)&gt;0,$G28),IF(AND(teacher_type="TB",career_stage="P"),AND(COUNTIFS(TBPS[Strand],$O28,TBPS[QET],H$21)&gt;0,$G28),IF(AND(teacher_type="TB",career_stage="HP"),AND(COUNTIFS(TBHPS[Strand],$O28,TBHPS[QET],H$21)&gt;0,$G28),FALSE)))),FALSE)</f>
        <v>0</v>
      </c>
      <c r="I28" s="156" t="b">
        <f t="shared" si="11"/>
        <v>0</v>
      </c>
      <c r="J28" s="156" t="b">
        <f>IFERROR(IF(AND(teacher_type="R",career_stage="P"),AND(COUNTIFS(RPS[Strand],$O28,RPS[QET],J$21)&gt;0,$G28),IF(AND(teacher_type="R",career_stage="HP"),AND(COUNTIFS(RHPS[Strand],$O28,RHPS[QET],J$21)&gt;0,$G28),IF(AND(teacher_type="TB",career_stage="P"),AND(COUNTIFS(TBPS[Strand],$O28,TBPS[QET],J$21)&gt;0,$G28),IF(AND(teacher_type="TB",career_stage="HP"),AND(COUNTIFS(TBHPS[Strand],$O28,TBHPS[QET],J$21)&gt;0,$G28),FALSE)))),FALSE)</f>
        <v>0</v>
      </c>
      <c r="K28" s="156" t="b">
        <f>IFERROR(IF(AND(teacher_type="R",career_stage="P"),AND(COUNTIFS(RPS[Strand],$O28,RPS[QET],K$21)&gt;0,$G28),IF(AND(teacher_type="R",career_stage="HP"),AND(COUNTIFS(RHPS[Strand],$O28,RHPS[QET],K$21)&gt;0,$G28),IF(AND(teacher_type="TB",career_stage="P"),AND(COUNTIFS(TBPS[Strand],$O28,TBPS[QET],K$21)&gt;0,$G28),IF(AND(teacher_type="TB",career_stage="HP"),AND(COUNTIFS(TBHPS[Strand],$O28,TBHPS[QET],K$21)&gt;0,$G28),FALSE)))),FALSE)</f>
        <v>0</v>
      </c>
      <c r="L28" s="156" t="b">
        <f t="shared" si="12"/>
        <v>0</v>
      </c>
      <c r="M28" s="165" t="str">
        <f t="shared" si="13"/>
        <v/>
      </c>
      <c r="N28" s="48" t="str">
        <f>IF($G28,COUNTIF($G$22:$G28,TRUE),"")</f>
        <v/>
      </c>
      <c r="O28" s="48" t="str" cm="1">
        <f t="array" ref="O28">IFERROR(IF(AND(teacher_type="R",career_stage="P"),INDEX(RPI[Strand],$B28),IF(AND(teacher_type="R",career_stage="HP"),INDEX(RHPI[Strand],$B28),IF(AND(teacher_type="TB",career_stage="P"),INDEX(TBPI[Strand],$B28),IF(AND(teacher_type="TB",career_stage="HP"),INDEX(TBHPI[Strand],$B28),"")))),"")</f>
        <v>1.7.2</v>
      </c>
      <c r="P28" s="166" t="str">
        <f>$C$28</f>
        <v>COI</v>
      </c>
      <c r="Q28" s="167">
        <f>IFERROR(IF(AND(teacher_type="R",career_stage="P"),VLOOKUP(O28,RPI[],COLUMNS(RPI[[Strand]:[Weight]]),FALSE), IF(AND(teacher_type="R",career_stage="HP"),VLOOKUP(O28,RHPI[],COLUMNS(RHPI[[Strand]:[Weight]]),FALSE), IF(AND(teacher_type="TB",career_stage="P"),VLOOKUP(O28,TBPI[],COLUMNS(TBPI[[Strand]:[Weight]]),FALSE), IF(AND(teacher_type="TB",career_stage="HP"),VLOOKUP(O28,TBHPI[],COLUMNS(TBHPI[[Strand]:[Weight]]),FALSE),0)))),0)</f>
        <v>0</v>
      </c>
      <c r="R28" s="179">
        <f>COUNTIFS($D$22:D28,"COI",$G$22:G28,TRUE)</f>
        <v>4</v>
      </c>
      <c r="S28" s="479"/>
      <c r="T28" s="411" t="str">
        <f>IFERROR(IF(LOWER(TRIM(S$20))=LOWER(TRIM(data2!$U$35)),"",IF(AND($G28,$D28="COI",S$12,CZ28),IF(OR(LOWER(TRIM(S$20))=LOWER(TRIM(data2!$U$36)),ISBLANK(S28)),1,IF(career_stage="P",VLOOKUP(S28,P_COT_vlookup,2,FALSE),IF(career_stage="HP",VLOOKUP(S28,HP_COT_vlookup,2,FALSE),""))),"")),"")</f>
        <v/>
      </c>
      <c r="U28" s="489"/>
      <c r="V28" s="170" t="str">
        <f>IFERROR(IF(LOWER(TRIM(U$20))=LOWER(TRIM(data2!$U$35)),"",IF(AND($G28,$D28="COI",U$12,DB28),IF(OR(LOWER(TRIM(U$20))=LOWER(TRIM(data2!$U$36)),ISBLANK(U28)),1,IF(career_stage="P",VLOOKUP(U28,P_COT_vlookup,2,FALSE),IF(career_stage="HP",VLOOKUP(U28,HP_COT_vlookup,2,FALSE),""))),"")),"")</f>
        <v/>
      </c>
      <c r="W28" s="483"/>
      <c r="X28" s="169" t="str">
        <f>IFERROR(IF(LOWER(TRIM(W$20))=LOWER(TRIM(data2!$U$35)),"",IF(AND($G28,$D28="COI",W$12,DD28),IF(OR(LOWER(TRIM(W$20))=LOWER(TRIM(data2!$U$36)),ISBLANK(W28)),1,IF(career_stage="P",VLOOKUP(W28,P_COT_vlookup,2,FALSE),IF(career_stage="HP",VLOOKUP(W28,HP_COT_vlookup,2,FALSE),""))),"")),"")</f>
        <v/>
      </c>
      <c r="Y28" s="489"/>
      <c r="Z28" s="170" t="str">
        <f>IFERROR(IF(LOWER(TRIM(Y$20))=LOWER(TRIM(data2!$U$35)),"",IF(AND($G28,$D28="COI",Y$12,DF28),IF(OR(LOWER(TRIM(Y$20))=LOWER(TRIM(data2!$U$36)),ISBLANK(Y28)),1,IF(career_stage="P",VLOOKUP(Y28,P_COT_vlookup,2,FALSE),IF(career_stage="HP",VLOOKUP(Y28,HP_COT_vlookup,2,FALSE),""))),"")),"")</f>
        <v/>
      </c>
      <c r="AA28" s="171">
        <f t="shared" si="14"/>
        <v>0</v>
      </c>
      <c r="AB28" s="471"/>
      <c r="AC28" s="473"/>
      <c r="AD28" s="473"/>
      <c r="AE28" s="49">
        <f t="shared" si="2"/>
        <v>0</v>
      </c>
      <c r="AF28" s="49">
        <f t="shared" si="3"/>
        <v>0</v>
      </c>
      <c r="AG28" s="172" t="str">
        <f t="shared" si="4"/>
        <v>Poor</v>
      </c>
      <c r="AI28" s="196" t="b">
        <f t="shared" si="5"/>
        <v>1</v>
      </c>
      <c r="AJ28" s="154" t="b">
        <v>1</v>
      </c>
      <c r="AK28" s="154" t="b">
        <v>1</v>
      </c>
      <c r="AL28" s="196" t="b">
        <f t="shared" si="15"/>
        <v>1</v>
      </c>
      <c r="AM28" s="154" t="b">
        <v>1</v>
      </c>
      <c r="AN28" s="196" t="b">
        <f t="shared" si="15"/>
        <v>1</v>
      </c>
      <c r="AO28" s="154" t="b">
        <v>1</v>
      </c>
      <c r="AP28" s="196" t="b">
        <f t="shared" si="15"/>
        <v>1</v>
      </c>
      <c r="AQ28" s="154" t="b">
        <v>1</v>
      </c>
      <c r="AR28" s="196" t="b">
        <f t="shared" si="15"/>
        <v>1</v>
      </c>
      <c r="AS28" s="154" t="b">
        <v>1</v>
      </c>
      <c r="AT28" s="154" t="b">
        <v>1</v>
      </c>
      <c r="AU28" s="196" t="b">
        <f t="shared" si="6"/>
        <v>1</v>
      </c>
      <c r="AV28" s="196" t="b">
        <f t="shared" si="7"/>
        <v>1</v>
      </c>
      <c r="AW28" s="196" t="b">
        <f t="shared" si="8"/>
        <v>1</v>
      </c>
      <c r="AX28" s="47" t="b">
        <v>1</v>
      </c>
      <c r="AY28" s="47" t="b">
        <v>1</v>
      </c>
      <c r="AZ28" s="47" t="b">
        <v>1</v>
      </c>
      <c r="BF28" s="154" t="str">
        <f t="shared" si="9"/>
        <v>1.7.2</v>
      </c>
      <c r="BG28" s="196" t="b" cm="1">
        <f t="array" ref="BG28">IFERROR(IF(OR(LOWER(TRIM(S$20))=LOWER(TRIM(data2!$U$35)),LOWER(TRIM(S$20))=LOWER(TRIM(data2!$U$36))),FALSE,AND(S$12,IF(AND($G28,$D28="COI"),
IF(AND(teacher_type="R",career_stage="P"),VLOOKUP($BF28,RPI[],COLUMN(RPI[cot1]),FALSE),
IF(AND(teacher_type="R",career_stage="HP"),VLOOKUP($BF28,RHPI[],COLUMN(RHPI[cot1]),FALSE),
IF(AND(teacher_type="TB",career_stage="P"),VLOOKUP($BF28,TBPI[],COLUMN(TBPI[cot1]),FALSE),
IF(AND(teacher_type="TB",career_stage="HP"),VLOOKUP($BF28,TBHPI[],COLUMN(TBHPI[cot1]),FALSE),FALSE)))),
FALSE))),FALSE)</f>
        <v>0</v>
      </c>
      <c r="BH28" s="154" t="b">
        <v>0</v>
      </c>
      <c r="BI28" s="196" t="b" cm="1">
        <f t="array" ref="BI28">IFERROR(IF(OR(LOWER(TRIM(U$20))=LOWER(TRIM(data2!$U$35)),LOWER(TRIM(U$20))=LOWER(TRIM(data2!$U$36))),FALSE,AND(U$12,IF(AND($G28,$D28="COI"),
IF(AND(teacher_type="R",career_stage="P"),VLOOKUP($BF28,RPI[],COLUMN(RPI[cot2]),FALSE),
IF(AND(teacher_type="R",career_stage="HP"),VLOOKUP($BF28,RHPI[],COLUMN(RHPI[cot2]),FALSE),
IF(AND(teacher_type="TB",career_stage="P"),VLOOKUP($BF28,TBPI[],COLUMN(TBPI[cot2]),FALSE),
IF(AND(teacher_type="TB",career_stage="HP"),VLOOKUP($BF28,TBHPI[],COLUMN(TBHPI[cot2]),FALSE),FALSE)))),
FALSE))),FALSE)</f>
        <v>0</v>
      </c>
      <c r="BJ28" s="154" t="b">
        <v>0</v>
      </c>
      <c r="BK28" s="196" t="b" cm="1">
        <f t="array" ref="BK28">IFERROR(IF(OR(LOWER(TRIM(W$20))=LOWER(TRIM(data2!$U$35)),LOWER(TRIM(W$20))=LOWER(TRIM(data2!$U$36))),FALSE,AND(W$12,IF(AND($G28,$D28="COI"),
IF(AND(teacher_type="R",career_stage="P"),VLOOKUP($BF28,RPI[],COLUMN(RPI[cot3]),FALSE),
IF(AND(teacher_type="R",career_stage="HP"),VLOOKUP($BF28,RHPI[],COLUMN(RHPI[cot3]),FALSE),
IF(AND(teacher_type="TB",career_stage="P"),VLOOKUP($BF28,TBPI[],COLUMN(TBPI[cot3]),FALSE),
IF(AND(teacher_type="TB",career_stage="HP"),VLOOKUP($BF28,TBHPI[],COLUMN(TBHPI[cot3]),FALSE),FALSE)))),
FALSE))),FALSE)</f>
        <v>0</v>
      </c>
      <c r="BL28" s="154" t="b">
        <v>0</v>
      </c>
      <c r="BM28" s="196" t="b" cm="1">
        <f t="array" ref="BM28">IFERROR(IF(OR(LOWER(TRIM(Y$20))=LOWER(TRIM(data2!$U$35)),LOWER(TRIM(Y$20))=LOWER(TRIM(data2!$U$36))),FALSE,AND(Y$12,IF(AND($G28,$D28="COI"),
IF(AND(teacher_type="R",career_stage="P"),VLOOKUP($BF28,RPI[],COLUMN(RPI[cot4]),FALSE),
IF(AND(teacher_type="R",career_stage="HP"),VLOOKUP($BF28,RHPI[],COLUMN(RHPI[cot4]),FALSE),
IF(AND(teacher_type="TB",career_stage="P"),VLOOKUP($BF28,TBPI[],COLUMN(TBPI[cot4]),FALSE),
IF(AND(teacher_type="TB",career_stage="HP"),VLOOKUP($BF28,TBHPI[],COLUMN(TBHPI[cot4]),FALSE),FALSE)))),
FALSE))),FALSE)</f>
        <v>0</v>
      </c>
      <c r="BN28" s="154" t="b">
        <v>0</v>
      </c>
      <c r="BO28" s="150">
        <f t="shared" si="16"/>
        <v>0</v>
      </c>
      <c r="BP28" s="196" t="b">
        <f t="shared" si="17"/>
        <v>0</v>
      </c>
      <c r="BQ28" s="196" t="b">
        <f>IFERROR(IF(OR(NOT(CZ28),LOWER(TRIM(S$20))=LOWER(TRIM(data2!$U$35))),TRUE,IF(AND(CZ28,LOWER(TRIM(S$20))=LOWER(TRIM(data2!$U$36))),FALSE)),FALSE)</f>
        <v>1</v>
      </c>
      <c r="BR28" s="196" t="b">
        <f t="shared" si="18"/>
        <v>0</v>
      </c>
      <c r="BS28" s="196" t="b">
        <f>IFERROR(IF(OR(NOT(DB28),LOWER(TRIM(U$20))=LOWER(TRIM(data2!$U$35))),TRUE,IF(AND(DB28,LOWER(TRIM(U$20))=LOWER(TRIM(data2!$U$36))),FALSE)),FALSE)</f>
        <v>1</v>
      </c>
      <c r="BT28" s="196" t="b">
        <f t="shared" si="19"/>
        <v>0</v>
      </c>
      <c r="BU28" s="196" t="b">
        <f>IFERROR(IF(OR(NOT(DD28),LOWER(TRIM(W$20))=LOWER(TRIM(data2!$U$35))),TRUE,IF(AND(DD28,LOWER(TRIM(W$20))=LOWER(TRIM(data2!$U$36))),FALSE)),FALSE)</f>
        <v>1</v>
      </c>
      <c r="BV28" s="196" t="b">
        <f t="shared" si="20"/>
        <v>0</v>
      </c>
      <c r="BW28" s="196" t="b">
        <f>IFERROR(IF(OR(NOT(DF28),LOWER(TRIM(Y$20))=LOWER(TRIM(data2!$U$35))),TRUE,IF(AND(DF28,LOWER(TRIM(Y$20))=LOWER(TRIM(data2!$U$36))),FALSE)),FALSE)</f>
        <v>1</v>
      </c>
      <c r="BY28" s="154" t="str">
        <f t="shared" si="21"/>
        <v/>
      </c>
      <c r="BZ28" s="154" t="str">
        <f t="shared" si="22"/>
        <v/>
      </c>
      <c r="CA28" s="154" t="str">
        <f t="shared" si="23"/>
        <v/>
      </c>
      <c r="CB28" s="154" t="str">
        <f t="shared" si="24"/>
        <v>CE28:CI28</v>
      </c>
      <c r="CC28" s="154" t="str">
        <f t="shared" si="25"/>
        <v>CK28:CO28</v>
      </c>
      <c r="CD28" s="154" t="str">
        <f t="shared" si="26"/>
        <v>CQ28:CU28</v>
      </c>
      <c r="CE28" s="359" cm="1">
        <f t="array" ref="CE28">IFERROR(IF($BY28&lt;&gt;"",
IF(AND(teacher_type="R",career_stage="P"),
    IF(INDEX(RPS[[Outstanding]:[Poor]],MATCH($BY28,RPS[[helper]:[helper]],0),CE$19)&lt;&gt;"",CE$20,""),
IF(AND(teacher_type="R",career_stage="HP"),
    IF(INDEX(RHPS[[Outstanding]:[Poor]],MATCH($BY28,RHPS[[helper]:[helper]],0),CE$19)&lt;&gt;"",CE$20,""),
IF(AND(teacher_type="TB",career_stage="P"),
    IF(INDEX(TBPS[[Outstanding]:[Poor]],MATCH($BY28,TBPS[[helper]:[helper]],0),CE$19)&lt;&gt;"",CE$20,""),
IF(AND(teacher_type="TB",career_stage="HP"),
    IF(INDEX(TBHPS[[Outstanding]:[Poor]],MATCH($BY28,TBHPS[[helper]:[helper]],0),CE$19)&lt;&gt;"",CE$20,""),
CE$20)))),
CE$20),CE$20)</f>
        <v>5</v>
      </c>
      <c r="CF28" s="359" cm="1">
        <f t="array" ref="CF28">IFERROR(IF($BY28&lt;&gt;"",
IF(AND(teacher_type="R",career_stage="P"),
    IF(INDEX(RPS[[Outstanding]:[Poor]],MATCH($BY28,RPS[[helper]:[helper]],0),CF$19)&lt;&gt;"",CF$20,""),
IF(AND(teacher_type="R",career_stage="HP"),
    IF(INDEX(RHPS[[Outstanding]:[Poor]],MATCH($BY28,RHPS[[helper]:[helper]],0),CF$19)&lt;&gt;"",CF$20,""),
IF(AND(teacher_type="TB",career_stage="P"),
    IF(INDEX(TBPS[[Outstanding]:[Poor]],MATCH($BY28,TBPS[[helper]:[helper]],0),CF$19)&lt;&gt;"",CF$20,""),
IF(AND(teacher_type="TB",career_stage="HP"),
    IF(INDEX(TBHPS[[Outstanding]:[Poor]],MATCH($BY28,TBHPS[[helper]:[helper]],0),CF$19)&lt;&gt;"",CF$20,""),
CF$20)))),
CF$20),CF$20)</f>
        <v>4</v>
      </c>
      <c r="CG28" s="359" cm="1">
        <f t="array" ref="CG28">IFERROR(IF($BY28&lt;&gt;"",
IF(AND(teacher_type="R",career_stage="P"),
    IF(INDEX(RPS[[Outstanding]:[Poor]],MATCH($BY28,RPS[[helper]:[helper]],0),CG$19)&lt;&gt;"",CG$20,""),
IF(AND(teacher_type="R",career_stage="HP"),
    IF(INDEX(RHPS[[Outstanding]:[Poor]],MATCH($BY28,RHPS[[helper]:[helper]],0),CG$19)&lt;&gt;"",CG$20,""),
IF(AND(teacher_type="TB",career_stage="P"),
    IF(INDEX(TBPS[[Outstanding]:[Poor]],MATCH($BY28,TBPS[[helper]:[helper]],0),CG$19)&lt;&gt;"",CG$20,""),
IF(AND(teacher_type="TB",career_stage="HP"),
    IF(INDEX(TBHPS[[Outstanding]:[Poor]],MATCH($BY28,TBHPS[[helper]:[helper]],0),CG$19)&lt;&gt;"",CG$20,""),
CG$20)))),
CG$20),CG$20)</f>
        <v>3</v>
      </c>
      <c r="CH28" s="359" cm="1">
        <f t="array" ref="CH28">IFERROR(IF($BY28&lt;&gt;"",
IF(AND(teacher_type="R",career_stage="P"),
    IF(INDEX(RPS[[Outstanding]:[Poor]],MATCH($BY28,RPS[[helper]:[helper]],0),CH$19)&lt;&gt;"",CH$20,""),
IF(AND(teacher_type="R",career_stage="HP"),
    IF(INDEX(RHPS[[Outstanding]:[Poor]],MATCH($BY28,RHPS[[helper]:[helper]],0),CH$19)&lt;&gt;"",CH$20,""),
IF(AND(teacher_type="TB",career_stage="P"),
    IF(INDEX(TBPS[[Outstanding]:[Poor]],MATCH($BY28,TBPS[[helper]:[helper]],0),CH$19)&lt;&gt;"",CH$20,""),
IF(AND(teacher_type="TB",career_stage="HP"),
    IF(INDEX(TBHPS[[Outstanding]:[Poor]],MATCH($BY28,TBHPS[[helper]:[helper]],0),CH$19)&lt;&gt;"",CH$20,""),
CH$20)))),
CH$20),CH$20)</f>
        <v>2</v>
      </c>
      <c r="CI28" s="359" cm="1">
        <f t="array" ref="CI28">IFERROR(IF($BY28&lt;&gt;"",
IF(AND(teacher_type="R",career_stage="P"),
    IF(INDEX(RPS[[Outstanding]:[Poor]],MATCH($BY28,RPS[[helper]:[helper]],0),CI$19)&lt;&gt;"",CI$20,""),
IF(AND(teacher_type="R",career_stage="HP"),
    IF(INDEX(RHPS[[Outstanding]:[Poor]],MATCH($BY28,RHPS[[helper]:[helper]],0),CI$19)&lt;&gt;"",CI$20,""),
IF(AND(teacher_type="TB",career_stage="P"),
    IF(INDEX(TBPS[[Outstanding]:[Poor]],MATCH($BY28,TBPS[[helper]:[helper]],0),CI$19)&lt;&gt;"",CI$20,""),
IF(AND(teacher_type="TB",career_stage="HP"),
    IF(INDEX(TBHPS[[Outstanding]:[Poor]],MATCH($BY28,TBHPS[[helper]:[helper]],0),CI$19)&lt;&gt;"",CI$20,""),
CI$20)))),
CI$20),CI$20)</f>
        <v>1</v>
      </c>
      <c r="CJ28" s="360">
        <f t="shared" si="27"/>
        <v>5</v>
      </c>
      <c r="CK28" s="359" cm="1">
        <f t="array" ref="CK28">IFERROR(IF($BZ28&lt;&gt;"",
IF(AND(teacher_type="R",career_stage="P"),
    IF(INDEX(RPS[[Outstanding]:[Poor]],MATCH($BZ28,RPS[[helper]:[helper]],0),CK$19)&lt;&gt;"",CK$20,""),
IF(AND(teacher_type="R",career_stage="HP"),
    IF(INDEX(RHPS[[Outstanding]:[Poor]],MATCH($BZ28,RHPS[[helper]:[helper]],0),CK$19)&lt;&gt;"",CK$20,""),
IF(AND(teacher_type="TB",career_stage="P"),
    IF(INDEX(TBPS[[Outstanding]:[Poor]],MATCH($BZ28,TBPS[[helper]:[helper]],0),CK$19)&lt;&gt;"",CK$20,""),
IF(AND(teacher_type="TB",career_stage="HP"),
    IF(INDEX(TBHPS[[Outstanding]:[Poor]],MATCH($BZ28,TBHPS[[helper]:[helper]],0),CK$19)&lt;&gt;"",CK$20,""),
CK$20)))),
CK$20),CK$20)</f>
        <v>5</v>
      </c>
      <c r="CL28" s="359" cm="1">
        <f t="array" ref="CL28">IFERROR(IF($BZ28&lt;&gt;"",
IF(AND(teacher_type="R",career_stage="P"),
    IF(INDEX(RPS[[Outstanding]:[Poor]],MATCH($BZ28,RPS[[helper]:[helper]],0),CL$19)&lt;&gt;"",CL$20,""),
IF(AND(teacher_type="R",career_stage="HP"),
    IF(INDEX(RHPS[[Outstanding]:[Poor]],MATCH($BZ28,RHPS[[helper]:[helper]],0),CL$19)&lt;&gt;"",CL$20,""),
IF(AND(teacher_type="TB",career_stage="P"),
    IF(INDEX(TBPS[[Outstanding]:[Poor]],MATCH($BZ28,TBPS[[helper]:[helper]],0),CL$19)&lt;&gt;"",CL$20,""),
IF(AND(teacher_type="TB",career_stage="HP"),
    IF(INDEX(TBHPS[[Outstanding]:[Poor]],MATCH($BZ28,TBHPS[[helper]:[helper]],0),CL$19)&lt;&gt;"",CL$20,""),
CL$20)))),
CL$20),CL$20)</f>
        <v>4</v>
      </c>
      <c r="CM28" s="359" cm="1">
        <f t="array" ref="CM28">IFERROR(IF($BZ28&lt;&gt;"",
IF(AND(teacher_type="R",career_stage="P"),
    IF(INDEX(RPS[[Outstanding]:[Poor]],MATCH($BZ28,RPS[[helper]:[helper]],0),CM$19)&lt;&gt;"",CM$20,""),
IF(AND(teacher_type="R",career_stage="HP"),
    IF(INDEX(RHPS[[Outstanding]:[Poor]],MATCH($BZ28,RHPS[[helper]:[helper]],0),CM$19)&lt;&gt;"",CM$20,""),
IF(AND(teacher_type="TB",career_stage="P"),
    IF(INDEX(TBPS[[Outstanding]:[Poor]],MATCH($BZ28,TBPS[[helper]:[helper]],0),CM$19)&lt;&gt;"",CM$20,""),
IF(AND(teacher_type="TB",career_stage="HP"),
    IF(INDEX(TBHPS[[Outstanding]:[Poor]],MATCH($BZ28,TBHPS[[helper]:[helper]],0),CM$19)&lt;&gt;"",CM$20,""),
CM$20)))),
CM$20),CM$20)</f>
        <v>3</v>
      </c>
      <c r="CN28" s="359" cm="1">
        <f t="array" ref="CN28">IFERROR(IF($BZ28&lt;&gt;"",
IF(AND(teacher_type="R",career_stage="P"),
    IF(INDEX(RPS[[Outstanding]:[Poor]],MATCH($BZ28,RPS[[helper]:[helper]],0),CN$19)&lt;&gt;"",CN$20,""),
IF(AND(teacher_type="R",career_stage="HP"),
    IF(INDEX(RHPS[[Outstanding]:[Poor]],MATCH($BZ28,RHPS[[helper]:[helper]],0),CN$19)&lt;&gt;"",CN$20,""),
IF(AND(teacher_type="TB",career_stage="P"),
    IF(INDEX(TBPS[[Outstanding]:[Poor]],MATCH($BZ28,TBPS[[helper]:[helper]],0),CN$19)&lt;&gt;"",CN$20,""),
IF(AND(teacher_type="TB",career_stage="HP"),
    IF(INDEX(TBHPS[[Outstanding]:[Poor]],MATCH($BZ28,TBHPS[[helper]:[helper]],0),CN$19)&lt;&gt;"",CN$20,""),
CN$20)))),
CN$20),CN$20)</f>
        <v>2</v>
      </c>
      <c r="CO28" s="359" cm="1">
        <f t="array" ref="CO28">IFERROR(IF($BZ28&lt;&gt;"",
IF(AND(teacher_type="R",career_stage="P"),
    IF(INDEX(RPS[[Outstanding]:[Poor]],MATCH($BZ28,RPS[[helper]:[helper]],0),CO$19)&lt;&gt;"",CO$20,""),
IF(AND(teacher_type="R",career_stage="HP"),
    IF(INDEX(RHPS[[Outstanding]:[Poor]],MATCH($BZ28,RHPS[[helper]:[helper]],0),CO$19)&lt;&gt;"",CO$20,""),
IF(AND(teacher_type="TB",career_stage="P"),
    IF(INDEX(TBPS[[Outstanding]:[Poor]],MATCH($BZ28,TBPS[[helper]:[helper]],0),CO$19)&lt;&gt;"",CO$20,""),
IF(AND(teacher_type="TB",career_stage="HP"),
    IF(INDEX(TBHPS[[Outstanding]:[Poor]],MATCH($BZ28,TBHPS[[helper]:[helper]],0),CO$19)&lt;&gt;"",CO$20,""),
CO$20)))),
CO$20),CO$20)</f>
        <v>1</v>
      </c>
      <c r="CP28" s="360">
        <f t="shared" si="28"/>
        <v>5</v>
      </c>
      <c r="CQ28" s="359" cm="1">
        <f t="array" ref="CQ28">IFERROR(IF($CA28&lt;&gt;"",
IF(AND(teacher_type="R",career_stage="P"),
    IF(INDEX(RPS[[Outstanding]:[Poor]],MATCH($CA28,RPS[[helper]:[helper]],0),CQ$19)&lt;&gt;"",CQ$20,""),
IF(AND(teacher_type="R",career_stage="HP"),
    IF(INDEX(RHPS[[Outstanding]:[Poor]],MATCH($CA28,RHPS[[helper]:[helper]],0),CQ$19)&lt;&gt;"",CQ$20,""),
IF(AND(teacher_type="TB",career_stage="P"),
    IF(INDEX(TBPS[[Outstanding]:[Poor]],MATCH($CA28,TBPS[[helper]:[helper]],0),CQ$19)&lt;&gt;"",CQ$20,""),
IF(AND(teacher_type="TB",career_stage="HP"),
    IF(INDEX(TBHPS[[Outstanding]:[Poor]],MATCH($CA28,TBHPS[[helper]:[helper]],0),CQ$19)&lt;&gt;"",CQ$20,""),
CQ$20)))),
CQ$20),CQ$20)</f>
        <v>5</v>
      </c>
      <c r="CR28" s="359" cm="1">
        <f t="array" ref="CR28">IFERROR(IF($CA28&lt;&gt;"",
IF(AND(teacher_type="R",career_stage="P"),
    IF(INDEX(RPS[[Outstanding]:[Poor]],MATCH($CA28,RPS[[helper]:[helper]],0),CR$19)&lt;&gt;"",CR$20,""),
IF(AND(teacher_type="R",career_stage="HP"),
    IF(INDEX(RHPS[[Outstanding]:[Poor]],MATCH($CA28,RHPS[[helper]:[helper]],0),CR$19)&lt;&gt;"",CR$20,""),
IF(AND(teacher_type="TB",career_stage="P"),
    IF(INDEX(TBPS[[Outstanding]:[Poor]],MATCH($CA28,TBPS[[helper]:[helper]],0),CR$19)&lt;&gt;"",CR$20,""),
IF(AND(teacher_type="TB",career_stage="HP"),
    IF(INDEX(TBHPS[[Outstanding]:[Poor]],MATCH($CA28,TBHPS[[helper]:[helper]],0),CR$19)&lt;&gt;"",CR$20,""),
CR$20)))),
CR$20),CR$20)</f>
        <v>4</v>
      </c>
      <c r="CS28" s="359" cm="1">
        <f t="array" ref="CS28">IFERROR(IF($CA28&lt;&gt;"",
IF(AND(teacher_type="R",career_stage="P"),
    IF(INDEX(RPS[[Outstanding]:[Poor]],MATCH($CA28,RPS[[helper]:[helper]],0),CS$19)&lt;&gt;"",CS$20,""),
IF(AND(teacher_type="R",career_stage="HP"),
    IF(INDEX(RHPS[[Outstanding]:[Poor]],MATCH($CA28,RHPS[[helper]:[helper]],0),CS$19)&lt;&gt;"",CS$20,""),
IF(AND(teacher_type="TB",career_stage="P"),
    IF(INDEX(TBPS[[Outstanding]:[Poor]],MATCH($CA28,TBPS[[helper]:[helper]],0),CS$19)&lt;&gt;"",CS$20,""),
IF(AND(teacher_type="TB",career_stage="HP"),
    IF(INDEX(TBHPS[[Outstanding]:[Poor]],MATCH($CA28,TBHPS[[helper]:[helper]],0),CS$19)&lt;&gt;"",CS$20,""),
CS$20)))),
CS$20),CS$20)</f>
        <v>3</v>
      </c>
      <c r="CT28" s="359" cm="1">
        <f t="array" ref="CT28">IFERROR(IF($CA28&lt;&gt;"",
IF(AND(teacher_type="R",career_stage="P"),
    IF(INDEX(RPS[[Outstanding]:[Poor]],MATCH($CA28,RPS[[helper]:[helper]],0),CT$19)&lt;&gt;"",CT$20,""),
IF(AND(teacher_type="R",career_stage="HP"),
    IF(INDEX(RHPS[[Outstanding]:[Poor]],MATCH($CA28,RHPS[[helper]:[helper]],0),CT$19)&lt;&gt;"",CT$20,""),
IF(AND(teacher_type="TB",career_stage="P"),
    IF(INDEX(TBPS[[Outstanding]:[Poor]],MATCH($CA28,TBPS[[helper]:[helper]],0),CT$19)&lt;&gt;"",CT$20,""),
IF(AND(teacher_type="TB",career_stage="HP"),
    IF(INDEX(TBHPS[[Outstanding]:[Poor]],MATCH($CA28,TBHPS[[helper]:[helper]],0),CT$19)&lt;&gt;"",CT$20,""),
CT$20)))),
CT$20),CT$20)</f>
        <v>2</v>
      </c>
      <c r="CU28" s="359" cm="1">
        <f t="array" ref="CU28">IFERROR(IF($CA28&lt;&gt;"",
IF(AND(teacher_type="R",career_stage="P"),
    IF(INDEX(RPS[[Outstanding]:[Poor]],MATCH($CA28,RPS[[helper]:[helper]],0),CU$19)&lt;&gt;"",CU$20,""),
IF(AND(teacher_type="R",career_stage="HP"),
    IF(INDEX(RHPS[[Outstanding]:[Poor]],MATCH($CA28,RHPS[[helper]:[helper]],0),CU$19)&lt;&gt;"",CU$20,""),
IF(AND(teacher_type="TB",career_stage="P"),
    IF(INDEX(TBPS[[Outstanding]:[Poor]],MATCH($CA28,TBPS[[helper]:[helper]],0),CU$19)&lt;&gt;"",CU$20,""),
IF(AND(teacher_type="TB",career_stage="HP"),
    IF(INDEX(TBHPS[[Outstanding]:[Poor]],MATCH($CA28,TBHPS[[helper]:[helper]],0),CU$19)&lt;&gt;"",CU$20,""),
CU$20)))),
CU$20),CU$20)</f>
        <v>1</v>
      </c>
      <c r="CV28" s="360">
        <f t="shared" si="29"/>
        <v>5</v>
      </c>
      <c r="CY28" s="443" t="b" cm="1">
        <f t="array" ref="CY28">IFERROR(AND(S$12,IF(AND($G28,$D28="COI"),
IF(AND(teacher_type="R",career_stage="P"),VLOOKUP($BF28,RPI[],COLUMN(RPI[cot1]),FALSE),
IF(AND(teacher_type="R",career_stage="HP"),VLOOKUP($BF28,RHPI[],COLUMN(RHPI[cot1]),FALSE),
IF(AND(teacher_type="TB",career_stage="P"),VLOOKUP($BF28,TBPI[],COLUMN(TBPI[cot1]),FALSE),
IF(AND(teacher_type="TB",career_stage="HP"),VLOOKUP($BF28,TBHPI[],COLUMN(TBHPI[cot1]),FALSE),FALSE)))),
FALSE)),FALSE)</f>
        <v>0</v>
      </c>
      <c r="CZ28" s="443" t="b">
        <f t="shared" si="30"/>
        <v>0</v>
      </c>
      <c r="DA28" s="443" t="b" cm="1">
        <f t="array" ref="DA28">IFERROR(AND(U$12,IF(AND($G28,$D28="COI"),
IF(AND(teacher_type="R",career_stage="P"),VLOOKUP($BF28,RPI[],COLUMN(RPI[cot2]),FALSE),
IF(AND(teacher_type="R",career_stage="HP"),VLOOKUP($BF28,RHPI[],COLUMN(RHPI[cot2]),FALSE),
IF(AND(teacher_type="TB",career_stage="P"),VLOOKUP($BF28,TBPI[],COLUMN(TBPI[cot2]),FALSE),
IF(AND(teacher_type="TB",career_stage="HP"),VLOOKUP($BF28,TBHPI[],COLUMN(TBHPI[cot2]),FALSE),FALSE)))),
FALSE)),FALSE)</f>
        <v>0</v>
      </c>
      <c r="DB28" s="443" t="b">
        <f t="shared" si="31"/>
        <v>0</v>
      </c>
      <c r="DC28" s="443" t="b" cm="1">
        <f t="array" ref="DC28">IFERROR(AND(W$12,IF(AND($G28,$D28="COI"),
IF(AND(teacher_type="R",career_stage="P"),VLOOKUP($BF28,RPI[],COLUMN(RPI[cot3]),FALSE),
IF(AND(teacher_type="R",career_stage="HP"),VLOOKUP($BF28,RHPI[],COLUMN(RHPI[cot3]),FALSE),
IF(AND(teacher_type="TB",career_stage="P"),VLOOKUP($BF28,TBPI[],COLUMN(TBPI[cot3]),FALSE),
IF(AND(teacher_type="TB",career_stage="HP"),VLOOKUP($BF28,TBHPI[],COLUMN(TBHPI[cot3]),FALSE),FALSE)))),
FALSE)),FALSE)</f>
        <v>0</v>
      </c>
      <c r="DD28" s="443" t="b">
        <f t="shared" si="32"/>
        <v>0</v>
      </c>
      <c r="DE28" s="443" t="b" cm="1">
        <f t="array" ref="DE28">IFERROR(AND(Y$12,IF(AND($G28,$D28="COI"),
IF(AND(teacher_type="R",career_stage="P"),VLOOKUP($BF28,RPI[],COLUMN(RPI[cot4]),FALSE),
IF(AND(teacher_type="R",career_stage="HP"),VLOOKUP($BF28,RHPI[],COLUMN(RHPI[cot4]),FALSE),
IF(AND(teacher_type="TB",career_stage="P"),VLOOKUP($BF28,TBPI[],COLUMN(TBPI[cot4]),FALSE),
IF(AND(teacher_type="TB",career_stage="HP"),VLOOKUP($BF28,TBHPI[],COLUMN(TBHPI[cot4]),FALSE),FALSE)))),
FALSE)),FALSE)</f>
        <v>0</v>
      </c>
      <c r="DF28" s="443" t="b">
        <f t="shared" si="33"/>
        <v>0</v>
      </c>
      <c r="DG28" s="150">
        <f t="shared" si="34"/>
        <v>0</v>
      </c>
      <c r="DH28" s="154">
        <f>IF(AND(CY28,LOWER(TRIM(S$20))=LOWER(TRIM(data2!$U$35))),1,0) +
IF(AND(DA28,LOWER(TRIM(U$20))=LOWER(TRIM(data2!$U$35))),1,0) +
IF(AND(DC28,LOWER(TRIM(W$20))=LOWER(TRIM(data2!$U$35))),1,0) +
IF(AND(DE28,LOWER(TRIM(Y$20))=LOWER(TRIM(data2!$U$35))),1,0)</f>
        <v>0</v>
      </c>
      <c r="DJ28" s="154">
        <f t="shared" si="35"/>
        <v>0</v>
      </c>
    </row>
    <row r="29" spans="1:116" s="154" customFormat="1" ht="24.95" customHeight="1" x14ac:dyDescent="0.25">
      <c r="A29" s="156"/>
      <c r="B29" s="154">
        <v>8</v>
      </c>
      <c r="C29" s="150" t="str">
        <f>IFERROR(IF(AND(teacher_type="R",career_stage="P"),VLOOKUP(O29,RPI[],COLUMNS(RPI[[Strand]:[admin_selected_coi_ncoi]]),FALSE),IF(AND(teacher_type="R",career_stage="HP"),VLOOKUP(O29,RHPI[],COLUMNS(RHPI[[Strand]:[admin_selected_coi_ncoi]]),FALSE),IF(AND(teacher_type="TB",career_stage="P"),VLOOKUP(O29,TBPI[],COLUMNS(TBPI[[Strand]:[admin_selected_coi_ncoi]]),FALSE),IF(AND(teacher_type="TB",career_stage="HP"),VLOOKUP(O29,TBHPI[],COLUMNS(TBHPI[[Strand]:[admin_selected_coi_ncoi]]),FALSE),"NCOI")))),"NCOI")</f>
        <v>COI</v>
      </c>
      <c r="D29" s="150" t="str">
        <f t="shared" si="10"/>
        <v>COI</v>
      </c>
      <c r="E29" s="150">
        <f>IFERROR(IF(AND(teacher_type="R",career_stage="P"),VLOOKUP($O29,RPI[[Strand]:[Domain]],COLUMNS(RPI[[Strand]:[Domain]]),FALSE),IF(AND(teacher_type="R",career_stage="HP"),VLOOKUP($O29,RHPI[[Strand]:[Domain]],COLUMNS(RHPI[[Strand]:[Domain]]),FALSE),IF(AND(teacher_type="TB",career_stage="P"),VLOOKUP($O29,TBPI[[Strand]:[Domain]],COLUMNS(TBPI[[Strand]:[Domain]]),FALSE),IF(AND(teacher_type="TB",career_stage="HP"),VLOOKUP($O29,TBHPI[[Strand]:[Domain]],COLUMNS(TBHPI[[Strand]:[Domain]]),FALSE),"")))),"")</f>
        <v>2</v>
      </c>
      <c r="F29" s="155" t="b">
        <f>AND(COUNTIFS($E$22:$E29,E29,$G$22:$G29,TRUE)=1,$G29)</f>
        <v>1</v>
      </c>
      <c r="G29" s="212" t="b">
        <f>IFERROR(IF(AND(teacher_type="R",career_stage="P"),VLOOKUP($O29,RPI[],COLUMNS(RPI[[Strand]:[Selected]]),FALSE),IF(AND(teacher_type="R",career_stage="HP"),VLOOKUP($O29,RHPI[],COLUMNS(RHPI[[Strand]:[Selected]]),FALSE),IF(AND(teacher_type="TB",career_stage="P"),VLOOKUP($O29,TBPI[],COLUMNS(TBPI[[Strand]:[Selected]]),FALSE),IF(AND(teacher_type="TB",career_stage="HP"),VLOOKUP($O29,TBHPI[],COLUMNS(TBHPI[[Strand]:[Selected]]),FALSE),FALSE)))),FALSE)</f>
        <v>1</v>
      </c>
      <c r="H29" s="156" t="b">
        <f>IFERROR(IF(AND(teacher_type="R",career_stage="P"),AND(COUNTIFS(RPS[Strand],$O29,RPS[QET],H$21)&gt;0,$G29),IF(AND(teacher_type="R",career_stage="HP"),AND(COUNTIFS(RHPS[Strand],$O29,RHPS[QET],H$21)&gt;0,$G29),IF(AND(teacher_type="TB",career_stage="P"),AND(COUNTIFS(TBPS[Strand],$O29,TBPS[QET],H$21)&gt;0,$G29),IF(AND(teacher_type="TB",career_stage="HP"),AND(COUNTIFS(TBHPS[Strand],$O29,TBHPS[QET],H$21)&gt;0,$G29),FALSE)))),FALSE)</f>
        <v>1</v>
      </c>
      <c r="I29" s="156" t="b">
        <f t="shared" si="11"/>
        <v>0</v>
      </c>
      <c r="J29" s="156" t="b">
        <f>IFERROR(IF(AND(teacher_type="R",career_stage="P"),AND(COUNTIFS(RPS[Strand],$O29,RPS[QET],J$21)&gt;0,$G29),IF(AND(teacher_type="R",career_stage="HP"),AND(COUNTIFS(RHPS[Strand],$O29,RHPS[QET],J$21)&gt;0,$G29),IF(AND(teacher_type="TB",career_stage="P"),AND(COUNTIFS(TBPS[Strand],$O29,TBPS[QET],J$21)&gt;0,$G29),IF(AND(teacher_type="TB",career_stage="HP"),AND(COUNTIFS(TBHPS[Strand],$O29,TBHPS[QET],J$21)&gt;0,$G29),FALSE)))),FALSE)</f>
        <v>1</v>
      </c>
      <c r="K29" s="156" t="b">
        <f>IFERROR(IF(AND(teacher_type="R",career_stage="P"),AND(COUNTIFS(RPS[Strand],$O29,RPS[QET],K$21)&gt;0,$G29),IF(AND(teacher_type="R",career_stage="HP"),AND(COUNTIFS(RHPS[Strand],$O29,RHPS[QET],K$21)&gt;0,$G29),IF(AND(teacher_type="TB",career_stage="P"),AND(COUNTIFS(TBPS[Strand],$O29,TBPS[QET],K$21)&gt;0,$G29),IF(AND(teacher_type="TB",career_stage="HP"),AND(COUNTIFS(TBHPS[Strand],$O29,TBHPS[QET],K$21)&gt;0,$G29),FALSE)))),FALSE)</f>
        <v>0</v>
      </c>
      <c r="L29" s="156" t="b">
        <f t="shared" si="12"/>
        <v>1</v>
      </c>
      <c r="M29" s="165">
        <f t="shared" si="13"/>
        <v>2</v>
      </c>
      <c r="N29" s="48">
        <f>IF($G29,COUNTIF($G$22:$G29,TRUE),"")</f>
        <v>5</v>
      </c>
      <c r="O29" s="48" t="str" cm="1">
        <f t="array" ref="O29">IFERROR(IF(AND(teacher_type="R",career_stage="P"),INDEX(RPI[Strand],$B29),IF(AND(teacher_type="R",career_stage="HP"),INDEX(RHPI[Strand],$B29),IF(AND(teacher_type="TB",career_stage="P"),INDEX(TBPI[Strand],$B29),IF(AND(teacher_type="TB",career_stage="HP"),INDEX(TBHPI[Strand],$B29),"")))),"")</f>
        <v>2.1.2</v>
      </c>
      <c r="P29" s="166" t="str">
        <f>$C$29</f>
        <v>COI</v>
      </c>
      <c r="Q29" s="167">
        <f>IFERROR(IF(AND(teacher_type="R",career_stage="P"),VLOOKUP(O29,RPI[],COLUMNS(RPI[[Strand]:[Weight]]),FALSE), IF(AND(teacher_type="R",career_stage="HP"),VLOOKUP(O29,RHPI[],COLUMNS(RHPI[[Strand]:[Weight]]),FALSE), IF(AND(teacher_type="TB",career_stage="P"),VLOOKUP(O29,TBPI[],COLUMNS(TBPI[[Strand]:[Weight]]),FALSE), IF(AND(teacher_type="TB",career_stage="HP"),VLOOKUP(O29,TBHPI[],COLUMNS(TBHPI[[Strand]:[Weight]]),FALSE),0)))),0)</f>
        <v>7.0000000000000007E-2</v>
      </c>
      <c r="R29" s="179">
        <f>COUNTIFS($D$22:D29,"COI",$G$22:G29,TRUE)</f>
        <v>5</v>
      </c>
      <c r="S29" s="481">
        <v>7</v>
      </c>
      <c r="T29" s="411">
        <f>IFERROR(IF(LOWER(TRIM(S$20))=LOWER(TRIM(data2!$U$35)),"",IF(AND($G29,$D29="COI",S$12,CZ29),IF(OR(LOWER(TRIM(S$20))=LOWER(TRIM(data2!$U$36)),ISBLANK(S29)),1,IF(career_stage="P",VLOOKUP(S29,P_COT_vlookup,2,FALSE),IF(career_stage="HP",VLOOKUP(S29,HP_COT_vlookup,2,FALSE),""))),"")),"")</f>
        <v>5</v>
      </c>
      <c r="U29" s="489"/>
      <c r="V29" s="170" t="str">
        <f>IFERROR(IF(LOWER(TRIM(U$20))=LOWER(TRIM(data2!$U$35)),"",IF(AND($G29,$D29="COI",U$12,DB29),IF(OR(LOWER(TRIM(U$20))=LOWER(TRIM(data2!$U$36)),ISBLANK(U29)),1,IF(career_stage="P",VLOOKUP(U29,P_COT_vlookup,2,FALSE),IF(career_stage="HP",VLOOKUP(U29,HP_COT_vlookup,2,FALSE),""))),"")),"")</f>
        <v/>
      </c>
      <c r="W29" s="491">
        <v>7</v>
      </c>
      <c r="X29" s="169">
        <f>IFERROR(IF(LOWER(TRIM(W$20))=LOWER(TRIM(data2!$U$35)),"",IF(AND($G29,$D29="COI",W$12,DD29),IF(OR(LOWER(TRIM(W$20))=LOWER(TRIM(data2!$U$36)),ISBLANK(W29)),1,IF(career_stage="P",VLOOKUP(W29,P_COT_vlookup,2,FALSE),IF(career_stage="HP",VLOOKUP(W29,HP_COT_vlookup,2,FALSE),""))),"")),"")</f>
        <v>5</v>
      </c>
      <c r="Y29" s="489"/>
      <c r="Z29" s="170" t="str">
        <f>IFERROR(IF(LOWER(TRIM(Y$20))=LOWER(TRIM(data2!$U$35)),"",IF(AND($G29,$D29="COI",Y$12,DF29),IF(OR(LOWER(TRIM(Y$20))=LOWER(TRIM(data2!$U$36)),ISBLANK(Y29)),1,IF(career_stage="P",VLOOKUP(Y29,P_COT_vlookup,2,FALSE),IF(career_stage="HP",VLOOKUP(Y29,HP_COT_vlookup,2,FALSE),""))),"")),"")</f>
        <v/>
      </c>
      <c r="AA29" s="171">
        <f t="shared" si="14"/>
        <v>5</v>
      </c>
      <c r="AB29" s="471">
        <f>IFERROR(IF(NOT(L22),"",VLOOKUP(ROUNDDOWN($AA$29,3),rating_desc_vlookup,3,TRUE)),1)</f>
        <v>5</v>
      </c>
      <c r="AC29" s="462">
        <v>5</v>
      </c>
      <c r="AD29" s="473"/>
      <c r="AE29" s="49">
        <f t="shared" si="2"/>
        <v>5</v>
      </c>
      <c r="AF29" s="49">
        <f t="shared" si="3"/>
        <v>0.35</v>
      </c>
      <c r="AG29" s="172" t="str">
        <f t="shared" si="4"/>
        <v>Outstanding</v>
      </c>
      <c r="AI29" s="196" t="b">
        <f t="shared" si="5"/>
        <v>1</v>
      </c>
      <c r="AJ29" s="154" t="b">
        <v>1</v>
      </c>
      <c r="AK29" s="154" t="b">
        <v>1</v>
      </c>
      <c r="AL29" s="196" t="b">
        <f t="shared" si="15"/>
        <v>1</v>
      </c>
      <c r="AM29" s="154" t="b">
        <v>1</v>
      </c>
      <c r="AN29" s="196" t="b">
        <f t="shared" si="15"/>
        <v>1</v>
      </c>
      <c r="AO29" s="154" t="b">
        <v>1</v>
      </c>
      <c r="AP29" s="196" t="b">
        <f t="shared" si="15"/>
        <v>1</v>
      </c>
      <c r="AQ29" s="154" t="b">
        <v>1</v>
      </c>
      <c r="AR29" s="196" t="b">
        <f t="shared" si="15"/>
        <v>1</v>
      </c>
      <c r="AS29" s="154" t="b">
        <v>1</v>
      </c>
      <c r="AT29" s="154" t="b">
        <v>1</v>
      </c>
      <c r="AU29" s="196" t="b">
        <f t="shared" si="6"/>
        <v>1</v>
      </c>
      <c r="AV29" s="196" t="b">
        <f t="shared" si="7"/>
        <v>1</v>
      </c>
      <c r="AW29" s="196" t="b">
        <f t="shared" si="8"/>
        <v>1</v>
      </c>
      <c r="AX29" s="47" t="b">
        <v>1</v>
      </c>
      <c r="AY29" s="47" t="b">
        <v>1</v>
      </c>
      <c r="AZ29" s="47" t="b">
        <v>1</v>
      </c>
      <c r="BF29" s="154" t="str">
        <f t="shared" si="9"/>
        <v>2.1.2</v>
      </c>
      <c r="BG29" s="196" t="b" cm="1">
        <f t="array" ref="BG29">IFERROR(IF(OR(LOWER(TRIM(S$20))=LOWER(TRIM(data2!$U$35)),LOWER(TRIM(S$20))=LOWER(TRIM(data2!$U$36))),FALSE,AND(S$12,IF(AND($G29,$D29="COI"),
IF(AND(teacher_type="R",career_stage="P"),VLOOKUP($BF29,RPI[],COLUMN(RPI[cot1]),FALSE),
IF(AND(teacher_type="R",career_stage="HP"),VLOOKUP($BF29,RHPI[],COLUMN(RHPI[cot1]),FALSE),
IF(AND(teacher_type="TB",career_stage="P"),VLOOKUP($BF29,TBPI[],COLUMN(TBPI[cot1]),FALSE),
IF(AND(teacher_type="TB",career_stage="HP"),VLOOKUP($BF29,TBHPI[],COLUMN(TBHPI[cot1]),FALSE),FALSE)))),
FALSE))),FALSE)</f>
        <v>1</v>
      </c>
      <c r="BH29" s="154" t="b">
        <v>0</v>
      </c>
      <c r="BI29" s="196" t="b" cm="1">
        <f t="array" ref="BI29">IFERROR(IF(OR(LOWER(TRIM(U$20))=LOWER(TRIM(data2!$U$35)),LOWER(TRIM(U$20))=LOWER(TRIM(data2!$U$36))),FALSE,AND(U$12,IF(AND($G29,$D29="COI"),
IF(AND(teacher_type="R",career_stage="P"),VLOOKUP($BF29,RPI[],COLUMN(RPI[cot2]),FALSE),
IF(AND(teacher_type="R",career_stage="HP"),VLOOKUP($BF29,RHPI[],COLUMN(RHPI[cot2]),FALSE),
IF(AND(teacher_type="TB",career_stage="P"),VLOOKUP($BF29,TBPI[],COLUMN(TBPI[cot2]),FALSE),
IF(AND(teacher_type="TB",career_stage="HP"),VLOOKUP($BF29,TBHPI[],COLUMN(TBHPI[cot2]),FALSE),FALSE)))),
FALSE))),FALSE)</f>
        <v>0</v>
      </c>
      <c r="BJ29" s="154" t="b">
        <v>0</v>
      </c>
      <c r="BK29" s="196" t="b" cm="1">
        <f t="array" ref="BK29">IFERROR(IF(OR(LOWER(TRIM(W$20))=LOWER(TRIM(data2!$U$35)),LOWER(TRIM(W$20))=LOWER(TRIM(data2!$U$36))),FALSE,AND(W$12,IF(AND($G29,$D29="COI"),
IF(AND(teacher_type="R",career_stage="P"),VLOOKUP($BF29,RPI[],COLUMN(RPI[cot3]),FALSE),
IF(AND(teacher_type="R",career_stage="HP"),VLOOKUP($BF29,RHPI[],COLUMN(RHPI[cot3]),FALSE),
IF(AND(teacher_type="TB",career_stage="P"),VLOOKUP($BF29,TBPI[],COLUMN(TBPI[cot3]),FALSE),
IF(AND(teacher_type="TB",career_stage="HP"),VLOOKUP($BF29,TBHPI[],COLUMN(TBHPI[cot3]),FALSE),FALSE)))),
FALSE))),FALSE)</f>
        <v>1</v>
      </c>
      <c r="BL29" s="154" t="b">
        <v>0</v>
      </c>
      <c r="BM29" s="196" t="b" cm="1">
        <f t="array" ref="BM29">IFERROR(IF(OR(LOWER(TRIM(Y$20))=LOWER(TRIM(data2!$U$35)),LOWER(TRIM(Y$20))=LOWER(TRIM(data2!$U$36))),FALSE,AND(Y$12,IF(AND($G29,$D29="COI"),
IF(AND(teacher_type="R",career_stage="P"),VLOOKUP($BF29,RPI[],COLUMN(RPI[cot4]),FALSE),
IF(AND(teacher_type="R",career_stage="HP"),VLOOKUP($BF29,RHPI[],COLUMN(RHPI[cot4]),FALSE),
IF(AND(teacher_type="TB",career_stage="P"),VLOOKUP($BF29,TBPI[],COLUMN(TBPI[cot4]),FALSE),
IF(AND(teacher_type="TB",career_stage="HP"),VLOOKUP($BF29,TBHPI[],COLUMN(TBHPI[cot4]),FALSE),FALSE)))),
FALSE))),FALSE)</f>
        <v>0</v>
      </c>
      <c r="BN29" s="154" t="b">
        <v>0</v>
      </c>
      <c r="BO29" s="150">
        <f t="shared" si="16"/>
        <v>2</v>
      </c>
      <c r="BP29" s="196" t="b">
        <f t="shared" si="17"/>
        <v>0</v>
      </c>
      <c r="BQ29" s="196" t="b">
        <f>IFERROR(IF(OR(NOT(CZ29),LOWER(TRIM(S$20))=LOWER(TRIM(data2!$U$35))),TRUE,IF(AND(CZ29,LOWER(TRIM(S$20))=LOWER(TRIM(data2!$U$36))),FALSE)),FALSE)</f>
        <v>0</v>
      </c>
      <c r="BR29" s="196" t="b">
        <f t="shared" si="18"/>
        <v>1</v>
      </c>
      <c r="BS29" s="196" t="b">
        <f>IFERROR(IF(OR(NOT(DB29),LOWER(TRIM(U$20))=LOWER(TRIM(data2!$U$35))),TRUE,IF(AND(DB29,LOWER(TRIM(U$20))=LOWER(TRIM(data2!$U$36))),FALSE)),FALSE)</f>
        <v>1</v>
      </c>
      <c r="BT29" s="196" t="b">
        <f t="shared" si="19"/>
        <v>0</v>
      </c>
      <c r="BU29" s="196" t="b">
        <f>IFERROR(IF(OR(NOT(DD29),LOWER(TRIM(W$20))=LOWER(TRIM(data2!$U$35))),TRUE,IF(AND(DD29,LOWER(TRIM(W$20))=LOWER(TRIM(data2!$U$36))),FALSE)),FALSE)</f>
        <v>0</v>
      </c>
      <c r="BV29" s="196" t="b">
        <f t="shared" si="20"/>
        <v>1</v>
      </c>
      <c r="BW29" s="196" t="b">
        <f>IFERROR(IF(OR(NOT(DF29),LOWER(TRIM(Y$20))=LOWER(TRIM(data2!$U$35))),TRUE,IF(AND(DF29,LOWER(TRIM(Y$20))=LOWER(TRIM(data2!$U$36))),FALSE)),FALSE)</f>
        <v>1</v>
      </c>
      <c r="BY29" s="154" t="str">
        <f t="shared" si="21"/>
        <v/>
      </c>
      <c r="BZ29" s="154" t="str">
        <f t="shared" si="22"/>
        <v>2.1.2-E-COI</v>
      </c>
      <c r="CA29" s="154" t="str">
        <f t="shared" si="23"/>
        <v/>
      </c>
      <c r="CB29" s="154" t="str">
        <f t="shared" si="24"/>
        <v>CE29:CI29</v>
      </c>
      <c r="CC29" s="154" t="str">
        <f t="shared" si="25"/>
        <v>CK29:CO29</v>
      </c>
      <c r="CD29" s="154" t="str">
        <f t="shared" si="26"/>
        <v>CQ29:CU29</v>
      </c>
      <c r="CE29" s="359" cm="1">
        <f t="array" ref="CE29">IFERROR(IF($BY29&lt;&gt;"",
IF(AND(teacher_type="R",career_stage="P"),
    IF(INDEX(RPS[[Outstanding]:[Poor]],MATCH($BY29,RPS[[helper]:[helper]],0),CE$19)&lt;&gt;"",CE$20,""),
IF(AND(teacher_type="R",career_stage="HP"),
    IF(INDEX(RHPS[[Outstanding]:[Poor]],MATCH($BY29,RHPS[[helper]:[helper]],0),CE$19)&lt;&gt;"",CE$20,""),
IF(AND(teacher_type="TB",career_stage="P"),
    IF(INDEX(TBPS[[Outstanding]:[Poor]],MATCH($BY29,TBPS[[helper]:[helper]],0),CE$19)&lt;&gt;"",CE$20,""),
IF(AND(teacher_type="TB",career_stage="HP"),
    IF(INDEX(TBHPS[[Outstanding]:[Poor]],MATCH($BY29,TBHPS[[helper]:[helper]],0),CE$19)&lt;&gt;"",CE$20,""),
CE$20)))),
CE$20),CE$20)</f>
        <v>5</v>
      </c>
      <c r="CF29" s="359" cm="1">
        <f t="array" ref="CF29">IFERROR(IF($BY29&lt;&gt;"",
IF(AND(teacher_type="R",career_stage="P"),
    IF(INDEX(RPS[[Outstanding]:[Poor]],MATCH($BY29,RPS[[helper]:[helper]],0),CF$19)&lt;&gt;"",CF$20,""),
IF(AND(teacher_type="R",career_stage="HP"),
    IF(INDEX(RHPS[[Outstanding]:[Poor]],MATCH($BY29,RHPS[[helper]:[helper]],0),CF$19)&lt;&gt;"",CF$20,""),
IF(AND(teacher_type="TB",career_stage="P"),
    IF(INDEX(TBPS[[Outstanding]:[Poor]],MATCH($BY29,TBPS[[helper]:[helper]],0),CF$19)&lt;&gt;"",CF$20,""),
IF(AND(teacher_type="TB",career_stage="HP"),
    IF(INDEX(TBHPS[[Outstanding]:[Poor]],MATCH($BY29,TBHPS[[helper]:[helper]],0),CF$19)&lt;&gt;"",CF$20,""),
CF$20)))),
CF$20),CF$20)</f>
        <v>4</v>
      </c>
      <c r="CG29" s="359" cm="1">
        <f t="array" ref="CG29">IFERROR(IF($BY29&lt;&gt;"",
IF(AND(teacher_type="R",career_stage="P"),
    IF(INDEX(RPS[[Outstanding]:[Poor]],MATCH($BY29,RPS[[helper]:[helper]],0),CG$19)&lt;&gt;"",CG$20,""),
IF(AND(teacher_type="R",career_stage="HP"),
    IF(INDEX(RHPS[[Outstanding]:[Poor]],MATCH($BY29,RHPS[[helper]:[helper]],0),CG$19)&lt;&gt;"",CG$20,""),
IF(AND(teacher_type="TB",career_stage="P"),
    IF(INDEX(TBPS[[Outstanding]:[Poor]],MATCH($BY29,TBPS[[helper]:[helper]],0),CG$19)&lt;&gt;"",CG$20,""),
IF(AND(teacher_type="TB",career_stage="HP"),
    IF(INDEX(TBHPS[[Outstanding]:[Poor]],MATCH($BY29,TBHPS[[helper]:[helper]],0),CG$19)&lt;&gt;"",CG$20,""),
CG$20)))),
CG$20),CG$20)</f>
        <v>3</v>
      </c>
      <c r="CH29" s="359" cm="1">
        <f t="array" ref="CH29">IFERROR(IF($BY29&lt;&gt;"",
IF(AND(teacher_type="R",career_stage="P"),
    IF(INDEX(RPS[[Outstanding]:[Poor]],MATCH($BY29,RPS[[helper]:[helper]],0),CH$19)&lt;&gt;"",CH$20,""),
IF(AND(teacher_type="R",career_stage="HP"),
    IF(INDEX(RHPS[[Outstanding]:[Poor]],MATCH($BY29,RHPS[[helper]:[helper]],0),CH$19)&lt;&gt;"",CH$20,""),
IF(AND(teacher_type="TB",career_stage="P"),
    IF(INDEX(TBPS[[Outstanding]:[Poor]],MATCH($BY29,TBPS[[helper]:[helper]],0),CH$19)&lt;&gt;"",CH$20,""),
IF(AND(teacher_type="TB",career_stage="HP"),
    IF(INDEX(TBHPS[[Outstanding]:[Poor]],MATCH($BY29,TBHPS[[helper]:[helper]],0),CH$19)&lt;&gt;"",CH$20,""),
CH$20)))),
CH$20),CH$20)</f>
        <v>2</v>
      </c>
      <c r="CI29" s="359" cm="1">
        <f t="array" ref="CI29">IFERROR(IF($BY29&lt;&gt;"",
IF(AND(teacher_type="R",career_stage="P"),
    IF(INDEX(RPS[[Outstanding]:[Poor]],MATCH($BY29,RPS[[helper]:[helper]],0),CI$19)&lt;&gt;"",CI$20,""),
IF(AND(teacher_type="R",career_stage="HP"),
    IF(INDEX(RHPS[[Outstanding]:[Poor]],MATCH($BY29,RHPS[[helper]:[helper]],0),CI$19)&lt;&gt;"",CI$20,""),
IF(AND(teacher_type="TB",career_stage="P"),
    IF(INDEX(TBPS[[Outstanding]:[Poor]],MATCH($BY29,TBPS[[helper]:[helper]],0),CI$19)&lt;&gt;"",CI$20,""),
IF(AND(teacher_type="TB",career_stage="HP"),
    IF(INDEX(TBHPS[[Outstanding]:[Poor]],MATCH($BY29,TBHPS[[helper]:[helper]],0),CI$19)&lt;&gt;"",CI$20,""),
CI$20)))),
CI$20),CI$20)</f>
        <v>1</v>
      </c>
      <c r="CJ29" s="360">
        <f t="shared" si="27"/>
        <v>5</v>
      </c>
      <c r="CK29" s="359" cm="1">
        <f t="array" ref="CK29">IFERROR(IF($BZ29&lt;&gt;"",
IF(AND(teacher_type="R",career_stage="P"),
    IF(INDEX(RPS[[Outstanding]:[Poor]],MATCH($BZ29,RPS[[helper]:[helper]],0),CK$19)&lt;&gt;"",CK$20,""),
IF(AND(teacher_type="R",career_stage="HP"),
    IF(INDEX(RHPS[[Outstanding]:[Poor]],MATCH($BZ29,RHPS[[helper]:[helper]],0),CK$19)&lt;&gt;"",CK$20,""),
IF(AND(teacher_type="TB",career_stage="P"),
    IF(INDEX(TBPS[[Outstanding]:[Poor]],MATCH($BZ29,TBPS[[helper]:[helper]],0),CK$19)&lt;&gt;"",CK$20,""),
IF(AND(teacher_type="TB",career_stage="HP"),
    IF(INDEX(TBHPS[[Outstanding]:[Poor]],MATCH($BZ29,TBHPS[[helper]:[helper]],0),CK$19)&lt;&gt;"",CK$20,""),
CK$20)))),
CK$20),CK$20)</f>
        <v>5</v>
      </c>
      <c r="CL29" s="359" t="str" cm="1">
        <f t="array" ref="CL29">IFERROR(IF($BZ29&lt;&gt;"",
IF(AND(teacher_type="R",career_stage="P"),
    IF(INDEX(RPS[[Outstanding]:[Poor]],MATCH($BZ29,RPS[[helper]:[helper]],0),CL$19)&lt;&gt;"",CL$20,""),
IF(AND(teacher_type="R",career_stage="HP"),
    IF(INDEX(RHPS[[Outstanding]:[Poor]],MATCH($BZ29,RHPS[[helper]:[helper]],0),CL$19)&lt;&gt;"",CL$20,""),
IF(AND(teacher_type="TB",career_stage="P"),
    IF(INDEX(TBPS[[Outstanding]:[Poor]],MATCH($BZ29,TBPS[[helper]:[helper]],0),CL$19)&lt;&gt;"",CL$20,""),
IF(AND(teacher_type="TB",career_stage="HP"),
    IF(INDEX(TBHPS[[Outstanding]:[Poor]],MATCH($BZ29,TBHPS[[helper]:[helper]],0),CL$19)&lt;&gt;"",CL$20,""),
CL$20)))),
CL$20),CL$20)</f>
        <v/>
      </c>
      <c r="CM29" s="359" cm="1">
        <f t="array" ref="CM29">IFERROR(IF($BZ29&lt;&gt;"",
IF(AND(teacher_type="R",career_stage="P"),
    IF(INDEX(RPS[[Outstanding]:[Poor]],MATCH($BZ29,RPS[[helper]:[helper]],0),CM$19)&lt;&gt;"",CM$20,""),
IF(AND(teacher_type="R",career_stage="HP"),
    IF(INDEX(RHPS[[Outstanding]:[Poor]],MATCH($BZ29,RHPS[[helper]:[helper]],0),CM$19)&lt;&gt;"",CM$20,""),
IF(AND(teacher_type="TB",career_stage="P"),
    IF(INDEX(TBPS[[Outstanding]:[Poor]],MATCH($BZ29,TBPS[[helper]:[helper]],0),CM$19)&lt;&gt;"",CM$20,""),
IF(AND(teacher_type="TB",career_stage="HP"),
    IF(INDEX(TBHPS[[Outstanding]:[Poor]],MATCH($BZ29,TBHPS[[helper]:[helper]],0),CM$19)&lt;&gt;"",CM$20,""),
CM$20)))),
CM$20),CM$20)</f>
        <v>3</v>
      </c>
      <c r="CN29" s="359" t="str" cm="1">
        <f t="array" ref="CN29">IFERROR(IF($BZ29&lt;&gt;"",
IF(AND(teacher_type="R",career_stage="P"),
    IF(INDEX(RPS[[Outstanding]:[Poor]],MATCH($BZ29,RPS[[helper]:[helper]],0),CN$19)&lt;&gt;"",CN$20,""),
IF(AND(teacher_type="R",career_stage="HP"),
    IF(INDEX(RHPS[[Outstanding]:[Poor]],MATCH($BZ29,RHPS[[helper]:[helper]],0),CN$19)&lt;&gt;"",CN$20,""),
IF(AND(teacher_type="TB",career_stage="P"),
    IF(INDEX(TBPS[[Outstanding]:[Poor]],MATCH($BZ29,TBPS[[helper]:[helper]],0),CN$19)&lt;&gt;"",CN$20,""),
IF(AND(teacher_type="TB",career_stage="HP"),
    IF(INDEX(TBHPS[[Outstanding]:[Poor]],MATCH($BZ29,TBHPS[[helper]:[helper]],0),CN$19)&lt;&gt;"",CN$20,""),
CN$20)))),
CN$20),CN$20)</f>
        <v/>
      </c>
      <c r="CO29" s="359" cm="1">
        <f t="array" ref="CO29">IFERROR(IF($BZ29&lt;&gt;"",
IF(AND(teacher_type="R",career_stage="P"),
    IF(INDEX(RPS[[Outstanding]:[Poor]],MATCH($BZ29,RPS[[helper]:[helper]],0),CO$19)&lt;&gt;"",CO$20,""),
IF(AND(teacher_type="R",career_stage="HP"),
    IF(INDEX(RHPS[[Outstanding]:[Poor]],MATCH($BZ29,RHPS[[helper]:[helper]],0),CO$19)&lt;&gt;"",CO$20,""),
IF(AND(teacher_type="TB",career_stage="P"),
    IF(INDEX(TBPS[[Outstanding]:[Poor]],MATCH($BZ29,TBPS[[helper]:[helper]],0),CO$19)&lt;&gt;"",CO$20,""),
IF(AND(teacher_type="TB",career_stage="HP"),
    IF(INDEX(TBHPS[[Outstanding]:[Poor]],MATCH($BZ29,TBHPS[[helper]:[helper]],0),CO$19)&lt;&gt;"",CO$20,""),
CO$20)))),
CO$20),CO$20)</f>
        <v>1</v>
      </c>
      <c r="CP29" s="360">
        <f t="shared" si="28"/>
        <v>3</v>
      </c>
      <c r="CQ29" s="359" cm="1">
        <f t="array" ref="CQ29">IFERROR(IF($CA29&lt;&gt;"",
IF(AND(teacher_type="R",career_stage="P"),
    IF(INDEX(RPS[[Outstanding]:[Poor]],MATCH($CA29,RPS[[helper]:[helper]],0),CQ$19)&lt;&gt;"",CQ$20,""),
IF(AND(teacher_type="R",career_stage="HP"),
    IF(INDEX(RHPS[[Outstanding]:[Poor]],MATCH($CA29,RHPS[[helper]:[helper]],0),CQ$19)&lt;&gt;"",CQ$20,""),
IF(AND(teacher_type="TB",career_stage="P"),
    IF(INDEX(TBPS[[Outstanding]:[Poor]],MATCH($CA29,TBPS[[helper]:[helper]],0),CQ$19)&lt;&gt;"",CQ$20,""),
IF(AND(teacher_type="TB",career_stage="HP"),
    IF(INDEX(TBHPS[[Outstanding]:[Poor]],MATCH($CA29,TBHPS[[helper]:[helper]],0),CQ$19)&lt;&gt;"",CQ$20,""),
CQ$20)))),
CQ$20),CQ$20)</f>
        <v>5</v>
      </c>
      <c r="CR29" s="359" cm="1">
        <f t="array" ref="CR29">IFERROR(IF($CA29&lt;&gt;"",
IF(AND(teacher_type="R",career_stage="P"),
    IF(INDEX(RPS[[Outstanding]:[Poor]],MATCH($CA29,RPS[[helper]:[helper]],0),CR$19)&lt;&gt;"",CR$20,""),
IF(AND(teacher_type="R",career_stage="HP"),
    IF(INDEX(RHPS[[Outstanding]:[Poor]],MATCH($CA29,RHPS[[helper]:[helper]],0),CR$19)&lt;&gt;"",CR$20,""),
IF(AND(teacher_type="TB",career_stage="P"),
    IF(INDEX(TBPS[[Outstanding]:[Poor]],MATCH($CA29,TBPS[[helper]:[helper]],0),CR$19)&lt;&gt;"",CR$20,""),
IF(AND(teacher_type="TB",career_stage="HP"),
    IF(INDEX(TBHPS[[Outstanding]:[Poor]],MATCH($CA29,TBHPS[[helper]:[helper]],0),CR$19)&lt;&gt;"",CR$20,""),
CR$20)))),
CR$20),CR$20)</f>
        <v>4</v>
      </c>
      <c r="CS29" s="359" cm="1">
        <f t="array" ref="CS29">IFERROR(IF($CA29&lt;&gt;"",
IF(AND(teacher_type="R",career_stage="P"),
    IF(INDEX(RPS[[Outstanding]:[Poor]],MATCH($CA29,RPS[[helper]:[helper]],0),CS$19)&lt;&gt;"",CS$20,""),
IF(AND(teacher_type="R",career_stage="HP"),
    IF(INDEX(RHPS[[Outstanding]:[Poor]],MATCH($CA29,RHPS[[helper]:[helper]],0),CS$19)&lt;&gt;"",CS$20,""),
IF(AND(teacher_type="TB",career_stage="P"),
    IF(INDEX(TBPS[[Outstanding]:[Poor]],MATCH($CA29,TBPS[[helper]:[helper]],0),CS$19)&lt;&gt;"",CS$20,""),
IF(AND(teacher_type="TB",career_stage="HP"),
    IF(INDEX(TBHPS[[Outstanding]:[Poor]],MATCH($CA29,TBHPS[[helper]:[helper]],0),CS$19)&lt;&gt;"",CS$20,""),
CS$20)))),
CS$20),CS$20)</f>
        <v>3</v>
      </c>
      <c r="CT29" s="359" cm="1">
        <f t="array" ref="CT29">IFERROR(IF($CA29&lt;&gt;"",
IF(AND(teacher_type="R",career_stage="P"),
    IF(INDEX(RPS[[Outstanding]:[Poor]],MATCH($CA29,RPS[[helper]:[helper]],0),CT$19)&lt;&gt;"",CT$20,""),
IF(AND(teacher_type="R",career_stage="HP"),
    IF(INDEX(RHPS[[Outstanding]:[Poor]],MATCH($CA29,RHPS[[helper]:[helper]],0),CT$19)&lt;&gt;"",CT$20,""),
IF(AND(teacher_type="TB",career_stage="P"),
    IF(INDEX(TBPS[[Outstanding]:[Poor]],MATCH($CA29,TBPS[[helper]:[helper]],0),CT$19)&lt;&gt;"",CT$20,""),
IF(AND(teacher_type="TB",career_stage="HP"),
    IF(INDEX(TBHPS[[Outstanding]:[Poor]],MATCH($CA29,TBHPS[[helper]:[helper]],0),CT$19)&lt;&gt;"",CT$20,""),
CT$20)))),
CT$20),CT$20)</f>
        <v>2</v>
      </c>
      <c r="CU29" s="359" cm="1">
        <f t="array" ref="CU29">IFERROR(IF($CA29&lt;&gt;"",
IF(AND(teacher_type="R",career_stage="P"),
    IF(INDEX(RPS[[Outstanding]:[Poor]],MATCH($CA29,RPS[[helper]:[helper]],0),CU$19)&lt;&gt;"",CU$20,""),
IF(AND(teacher_type="R",career_stage="HP"),
    IF(INDEX(RHPS[[Outstanding]:[Poor]],MATCH($CA29,RHPS[[helper]:[helper]],0),CU$19)&lt;&gt;"",CU$20,""),
IF(AND(teacher_type="TB",career_stage="P"),
    IF(INDEX(TBPS[[Outstanding]:[Poor]],MATCH($CA29,TBPS[[helper]:[helper]],0),CU$19)&lt;&gt;"",CU$20,""),
IF(AND(teacher_type="TB",career_stage="HP"),
    IF(INDEX(TBHPS[[Outstanding]:[Poor]],MATCH($CA29,TBHPS[[helper]:[helper]],0),CU$19)&lt;&gt;"",CU$20,""),
CU$20)))),
CU$20),CU$20)</f>
        <v>1</v>
      </c>
      <c r="CV29" s="360">
        <f t="shared" si="29"/>
        <v>5</v>
      </c>
      <c r="CY29" s="443" t="b" cm="1">
        <f t="array" ref="CY29">IFERROR(AND(S$12,IF(AND($G29,$D29="COI"),
IF(AND(teacher_type="R",career_stage="P"),VLOOKUP($BF29,RPI[],COLUMN(RPI[cot1]),FALSE),
IF(AND(teacher_type="R",career_stage="HP"),VLOOKUP($BF29,RHPI[],COLUMN(RHPI[cot1]),FALSE),
IF(AND(teacher_type="TB",career_stage="P"),VLOOKUP($BF29,TBPI[],COLUMN(TBPI[cot1]),FALSE),
IF(AND(teacher_type="TB",career_stage="HP"),VLOOKUP($BF29,TBHPI[],COLUMN(TBHPI[cot1]),FALSE),FALSE)))),
FALSE)),FALSE)</f>
        <v>1</v>
      </c>
      <c r="CZ29" s="443" t="b">
        <f t="shared" si="30"/>
        <v>1</v>
      </c>
      <c r="DA29" s="443" t="b" cm="1">
        <f t="array" ref="DA29">IFERROR(AND(U$12,IF(AND($G29,$D29="COI"),
IF(AND(teacher_type="R",career_stage="P"),VLOOKUP($BF29,RPI[],COLUMN(RPI[cot2]),FALSE),
IF(AND(teacher_type="R",career_stage="HP"),VLOOKUP($BF29,RHPI[],COLUMN(RHPI[cot2]),FALSE),
IF(AND(teacher_type="TB",career_stage="P"),VLOOKUP($BF29,TBPI[],COLUMN(TBPI[cot2]),FALSE),
IF(AND(teacher_type="TB",career_stage="HP"),VLOOKUP($BF29,TBHPI[],COLUMN(TBHPI[cot2]),FALSE),FALSE)))),
FALSE)),FALSE)</f>
        <v>0</v>
      </c>
      <c r="DB29" s="443" t="b">
        <f t="shared" si="31"/>
        <v>0</v>
      </c>
      <c r="DC29" s="443" t="b" cm="1">
        <f t="array" ref="DC29">IFERROR(AND(W$12,IF(AND($G29,$D29="COI"),
IF(AND(teacher_type="R",career_stage="P"),VLOOKUP($BF29,RPI[],COLUMN(RPI[cot3]),FALSE),
IF(AND(teacher_type="R",career_stage="HP"),VLOOKUP($BF29,RHPI[],COLUMN(RHPI[cot3]),FALSE),
IF(AND(teacher_type="TB",career_stage="P"),VLOOKUP($BF29,TBPI[],COLUMN(TBPI[cot3]),FALSE),
IF(AND(teacher_type="TB",career_stage="HP"),VLOOKUP($BF29,TBHPI[],COLUMN(TBHPI[cot3]),FALSE),FALSE)))),
FALSE)),FALSE)</f>
        <v>1</v>
      </c>
      <c r="DD29" s="443" t="b">
        <f t="shared" si="32"/>
        <v>1</v>
      </c>
      <c r="DE29" s="443" t="b" cm="1">
        <f t="array" ref="DE29">IFERROR(AND(Y$12,IF(AND($G29,$D29="COI"),
IF(AND(teacher_type="R",career_stage="P"),VLOOKUP($BF29,RPI[],COLUMN(RPI[cot4]),FALSE),
IF(AND(teacher_type="R",career_stage="HP"),VLOOKUP($BF29,RHPI[],COLUMN(RHPI[cot4]),FALSE),
IF(AND(teacher_type="TB",career_stage="P"),VLOOKUP($BF29,TBPI[],COLUMN(TBPI[cot4]),FALSE),
IF(AND(teacher_type="TB",career_stage="HP"),VLOOKUP($BF29,TBHPI[],COLUMN(TBHPI[cot4]),FALSE),FALSE)))),
FALSE)),FALSE)</f>
        <v>0</v>
      </c>
      <c r="DF29" s="443" t="b">
        <f t="shared" si="33"/>
        <v>0</v>
      </c>
      <c r="DG29" s="150">
        <f t="shared" si="34"/>
        <v>2</v>
      </c>
      <c r="DH29" s="154">
        <f>IF(AND(CY29,LOWER(TRIM(S$20))=LOWER(TRIM(data2!$U$35))),1,0) +
IF(AND(DA29,LOWER(TRIM(U$20))=LOWER(TRIM(data2!$U$35))),1,0) +
IF(AND(DC29,LOWER(TRIM(W$20))=LOWER(TRIM(data2!$U$35))),1,0) +
IF(AND(DE29,LOWER(TRIM(Y$20))=LOWER(TRIM(data2!$U$35))),1,0)</f>
        <v>0</v>
      </c>
      <c r="DJ29" s="154">
        <f t="shared" si="35"/>
        <v>2</v>
      </c>
    </row>
    <row r="30" spans="1:116" s="154" customFormat="1" ht="24.95" customHeight="1" x14ac:dyDescent="0.25">
      <c r="A30" s="156"/>
      <c r="B30" s="154">
        <v>9</v>
      </c>
      <c r="C30" s="150" t="str">
        <f>IFERROR(IF(AND(teacher_type="R",career_stage="P"),VLOOKUP(O30,RPI[],COLUMNS(RPI[[Strand]:[admin_selected_coi_ncoi]]),FALSE),IF(AND(teacher_type="R",career_stage="HP"),VLOOKUP(O30,RHPI[],COLUMNS(RHPI[[Strand]:[admin_selected_coi_ncoi]]),FALSE),IF(AND(teacher_type="TB",career_stage="P"),VLOOKUP(O30,TBPI[],COLUMNS(TBPI[[Strand]:[admin_selected_coi_ncoi]]),FALSE),IF(AND(teacher_type="TB",career_stage="HP"),VLOOKUP(O30,TBHPI[],COLUMNS(TBHPI[[Strand]:[admin_selected_coi_ncoi]]),FALSE),"NCOI")))),"NCOI")</f>
        <v>COI</v>
      </c>
      <c r="D30" s="150" t="str">
        <f t="shared" si="10"/>
        <v>COI</v>
      </c>
      <c r="E30" s="150">
        <f>IFERROR(IF(AND(teacher_type="R",career_stage="P"),VLOOKUP($O30,RPI[[Strand]:[Domain]],COLUMNS(RPI[[Strand]:[Domain]]),FALSE),IF(AND(teacher_type="R",career_stage="HP"),VLOOKUP($O30,RHPI[[Strand]:[Domain]],COLUMNS(RHPI[[Strand]:[Domain]]),FALSE),IF(AND(teacher_type="TB",career_stage="P"),VLOOKUP($O30,TBPI[[Strand]:[Domain]],COLUMNS(TBPI[[Strand]:[Domain]]),FALSE),IF(AND(teacher_type="TB",career_stage="HP"),VLOOKUP($O30,TBHPI[[Strand]:[Domain]],COLUMNS(TBHPI[[Strand]:[Domain]]),FALSE),"")))),"")</f>
        <v>2</v>
      </c>
      <c r="F30" s="155" t="b">
        <f>AND(COUNTIFS($E$22:$E30,E30,$G$22:$G30,TRUE)=1,$G30)</f>
        <v>0</v>
      </c>
      <c r="G30" s="212" t="b">
        <f>IFERROR(IF(AND(teacher_type="R",career_stage="P"),VLOOKUP($O30,RPI[],COLUMNS(RPI[[Strand]:[Selected]]),FALSE),IF(AND(teacher_type="R",career_stage="HP"),VLOOKUP($O30,RHPI[],COLUMNS(RHPI[[Strand]:[Selected]]),FALSE),IF(AND(teacher_type="TB",career_stage="P"),VLOOKUP($O30,TBPI[],COLUMNS(TBPI[[Strand]:[Selected]]),FALSE),IF(AND(teacher_type="TB",career_stage="HP"),VLOOKUP($O30,TBHPI[],COLUMNS(TBHPI[[Strand]:[Selected]]),FALSE),FALSE)))),FALSE)</f>
        <v>1</v>
      </c>
      <c r="H30" s="156" t="b">
        <f>IFERROR(IF(AND(teacher_type="R",career_stage="P"),AND(COUNTIFS(RPS[Strand],$O30,RPS[QET],H$21)&gt;0,$G30),IF(AND(teacher_type="R",career_stage="HP"),AND(COUNTIFS(RHPS[Strand],$O30,RHPS[QET],H$21)&gt;0,$G30),IF(AND(teacher_type="TB",career_stage="P"),AND(COUNTIFS(TBPS[Strand],$O30,TBPS[QET],H$21)&gt;0,$G30),IF(AND(teacher_type="TB",career_stage="HP"),AND(COUNTIFS(TBHPS[Strand],$O30,TBHPS[QET],H$21)&gt;0,$G30),FALSE)))),FALSE)</f>
        <v>1</v>
      </c>
      <c r="I30" s="156" t="b">
        <f t="shared" si="11"/>
        <v>0</v>
      </c>
      <c r="J30" s="156" t="b">
        <f>IFERROR(IF(AND(teacher_type="R",career_stage="P"),AND(COUNTIFS(RPS[Strand],$O30,RPS[QET],J$21)&gt;0,$G30),IF(AND(teacher_type="R",career_stage="HP"),AND(COUNTIFS(RHPS[Strand],$O30,RHPS[QET],J$21)&gt;0,$G30),IF(AND(teacher_type="TB",career_stage="P"),AND(COUNTIFS(TBPS[Strand],$O30,TBPS[QET],J$21)&gt;0,$G30),IF(AND(teacher_type="TB",career_stage="HP"),AND(COUNTIFS(TBHPS[Strand],$O30,TBHPS[QET],J$21)&gt;0,$G30),FALSE)))),FALSE)</f>
        <v>1</v>
      </c>
      <c r="K30" s="156" t="b">
        <f>IFERROR(IF(AND(teacher_type="R",career_stage="P"),AND(COUNTIFS(RPS[Strand],$O30,RPS[QET],K$21)&gt;0,$G30),IF(AND(teacher_type="R",career_stage="HP"),AND(COUNTIFS(RHPS[Strand],$O30,RHPS[QET],K$21)&gt;0,$G30),IF(AND(teacher_type="TB",career_stage="P"),AND(COUNTIFS(TBPS[Strand],$O30,TBPS[QET],K$21)&gt;0,$G30),IF(AND(teacher_type="TB",career_stage="HP"),AND(COUNTIFS(TBHPS[Strand],$O30,TBHPS[QET],K$21)&gt;0,$G30),FALSE)))),FALSE)</f>
        <v>0</v>
      </c>
      <c r="L30" s="156" t="b">
        <f t="shared" si="12"/>
        <v>1</v>
      </c>
      <c r="M30" s="165" t="str">
        <f t="shared" si="13"/>
        <v/>
      </c>
      <c r="N30" s="48">
        <f>IF($G30,COUNTIF($G$22:$G30,TRUE),"")</f>
        <v>6</v>
      </c>
      <c r="O30" s="48" t="str" cm="1">
        <f t="array" ref="O30">IFERROR(IF(AND(teacher_type="R",career_stage="P"),INDEX(RPI[Strand],$B30),IF(AND(teacher_type="R",career_stage="HP"),INDEX(RHPI[Strand],$B30),IF(AND(teacher_type="TB",career_stage="P"),INDEX(TBPI[Strand],$B30),IF(AND(teacher_type="TB",career_stage="HP"),INDEX(TBHPI[Strand],$B30),"")))),"")</f>
        <v>2.2.2</v>
      </c>
      <c r="P30" s="166" t="str">
        <f>$C$30</f>
        <v>COI</v>
      </c>
      <c r="Q30" s="167">
        <f>IFERROR(IF(AND(teacher_type="R",career_stage="P"),VLOOKUP(O30,RPI[],COLUMNS(RPI[[Strand]:[Weight]]),FALSE), IF(AND(teacher_type="R",career_stage="HP"),VLOOKUP(O30,RHPI[],COLUMNS(RHPI[[Strand]:[Weight]]),FALSE), IF(AND(teacher_type="TB",career_stage="P"),VLOOKUP(O30,TBPI[],COLUMNS(TBPI[[Strand]:[Weight]]),FALSE), IF(AND(teacher_type="TB",career_stage="HP"),VLOOKUP(O30,TBHPI[],COLUMNS(TBHPI[[Strand]:[Weight]]),FALSE),0)))),0)</f>
        <v>7.0000000000000007E-2</v>
      </c>
      <c r="R30" s="179">
        <f>COUNTIFS($D$22:D30,"COI",$G$22:G30,TRUE)</f>
        <v>6</v>
      </c>
      <c r="S30" s="481">
        <v>7</v>
      </c>
      <c r="T30" s="411">
        <f>IFERROR(IF(LOWER(TRIM(S$20))=LOWER(TRIM(data2!$U$35)),"",IF(AND($G30,$D30="COI",S$12,CZ30),IF(OR(LOWER(TRIM(S$20))=LOWER(TRIM(data2!$U$36)),ISBLANK(S30)),1,IF(career_stage="P",VLOOKUP(S30,P_COT_vlookup,2,FALSE),IF(career_stage="HP",VLOOKUP(S30,HP_COT_vlookup,2,FALSE),""))),"")),"")</f>
        <v>5</v>
      </c>
      <c r="U30" s="489"/>
      <c r="V30" s="170" t="str">
        <f>IFERROR(IF(LOWER(TRIM(U$20))=LOWER(TRIM(data2!$U$35)),"",IF(AND($G30,$D30="COI",U$12,DB30),IF(OR(LOWER(TRIM(U$20))=LOWER(TRIM(data2!$U$36)),ISBLANK(U30)),1,IF(career_stage="P",VLOOKUP(U30,P_COT_vlookup,2,FALSE),IF(career_stage="HP",VLOOKUP(U30,HP_COT_vlookup,2,FALSE),""))),"")),"")</f>
        <v/>
      </c>
      <c r="W30" s="491">
        <v>7</v>
      </c>
      <c r="X30" s="169">
        <f>IFERROR(IF(LOWER(TRIM(W$20))=LOWER(TRIM(data2!$U$35)),"",IF(AND($G30,$D30="COI",W$12,DD30),IF(OR(LOWER(TRIM(W$20))=LOWER(TRIM(data2!$U$36)),ISBLANK(W30)),1,IF(career_stage="P",VLOOKUP(W30,P_COT_vlookup,2,FALSE),IF(career_stage="HP",VLOOKUP(W30,HP_COT_vlookup,2,FALSE),""))),"")),"")</f>
        <v>5</v>
      </c>
      <c r="Y30" s="489"/>
      <c r="Z30" s="170" t="str">
        <f>IFERROR(IF(LOWER(TRIM(Y$20))=LOWER(TRIM(data2!$U$35)),"",IF(AND($G30,$D30="COI",Y$12,DF30),IF(OR(LOWER(TRIM(Y$20))=LOWER(TRIM(data2!$U$36)),ISBLANK(Y30)),1,IF(career_stage="P",VLOOKUP(Y30,P_COT_vlookup,2,FALSE),IF(career_stage="HP",VLOOKUP(Y30,HP_COT_vlookup,2,FALSE),""))),"")),"")</f>
        <v/>
      </c>
      <c r="AA30" s="171">
        <f t="shared" si="14"/>
        <v>5</v>
      </c>
      <c r="AB30" s="471">
        <f>IFERROR(IF(NOT(L22),"",VLOOKUP(ROUNDDOWN($AA$30,3),rating_desc_vlookup,3,TRUE)),1)</f>
        <v>5</v>
      </c>
      <c r="AC30" s="462">
        <v>5</v>
      </c>
      <c r="AD30" s="473"/>
      <c r="AE30" s="49">
        <f t="shared" si="2"/>
        <v>5</v>
      </c>
      <c r="AF30" s="49">
        <f t="shared" si="3"/>
        <v>0.35</v>
      </c>
      <c r="AG30" s="172" t="str">
        <f t="shared" si="4"/>
        <v>Outstanding</v>
      </c>
      <c r="AI30" s="196" t="b">
        <f t="shared" si="5"/>
        <v>1</v>
      </c>
      <c r="AJ30" s="154" t="b">
        <v>1</v>
      </c>
      <c r="AK30" s="154" t="b">
        <v>1</v>
      </c>
      <c r="AL30" s="196" t="b">
        <f t="shared" si="15"/>
        <v>1</v>
      </c>
      <c r="AM30" s="154" t="b">
        <v>1</v>
      </c>
      <c r="AN30" s="196" t="b">
        <f t="shared" si="15"/>
        <v>1</v>
      </c>
      <c r="AO30" s="154" t="b">
        <v>1</v>
      </c>
      <c r="AP30" s="196" t="b">
        <f t="shared" si="15"/>
        <v>1</v>
      </c>
      <c r="AQ30" s="154" t="b">
        <v>1</v>
      </c>
      <c r="AR30" s="196" t="b">
        <f t="shared" si="15"/>
        <v>1</v>
      </c>
      <c r="AS30" s="154" t="b">
        <v>1</v>
      </c>
      <c r="AT30" s="154" t="b">
        <v>1</v>
      </c>
      <c r="AU30" s="196" t="b">
        <f t="shared" si="6"/>
        <v>1</v>
      </c>
      <c r="AV30" s="196" t="b">
        <f t="shared" si="7"/>
        <v>1</v>
      </c>
      <c r="AW30" s="196" t="b">
        <f t="shared" si="8"/>
        <v>1</v>
      </c>
      <c r="AX30" s="47" t="b">
        <v>1</v>
      </c>
      <c r="AY30" s="47" t="b">
        <v>1</v>
      </c>
      <c r="AZ30" s="47" t="b">
        <v>1</v>
      </c>
      <c r="BF30" s="154" t="str">
        <f t="shared" si="9"/>
        <v>2.2.2</v>
      </c>
      <c r="BG30" s="196" t="b" cm="1">
        <f t="array" ref="BG30">IFERROR(IF(OR(LOWER(TRIM(S$20))=LOWER(TRIM(data2!$U$35)),LOWER(TRIM(S$20))=LOWER(TRIM(data2!$U$36))),FALSE,AND(S$12,IF(AND($G30,$D30="COI"),
IF(AND(teacher_type="R",career_stage="P"),VLOOKUP($BF30,RPI[],COLUMN(RPI[cot1]),FALSE),
IF(AND(teacher_type="R",career_stage="HP"),VLOOKUP($BF30,RHPI[],COLUMN(RHPI[cot1]),FALSE),
IF(AND(teacher_type="TB",career_stage="P"),VLOOKUP($BF30,TBPI[],COLUMN(TBPI[cot1]),FALSE),
IF(AND(teacher_type="TB",career_stage="HP"),VLOOKUP($BF30,TBHPI[],COLUMN(TBHPI[cot1]),FALSE),FALSE)))),
FALSE))),FALSE)</f>
        <v>1</v>
      </c>
      <c r="BH30" s="154" t="b">
        <v>0</v>
      </c>
      <c r="BI30" s="196" t="b" cm="1">
        <f t="array" ref="BI30">IFERROR(IF(OR(LOWER(TRIM(U$20))=LOWER(TRIM(data2!$U$35)),LOWER(TRIM(U$20))=LOWER(TRIM(data2!$U$36))),FALSE,AND(U$12,IF(AND($G30,$D30="COI"),
IF(AND(teacher_type="R",career_stage="P"),VLOOKUP($BF30,RPI[],COLUMN(RPI[cot2]),FALSE),
IF(AND(teacher_type="R",career_stage="HP"),VLOOKUP($BF30,RHPI[],COLUMN(RHPI[cot2]),FALSE),
IF(AND(teacher_type="TB",career_stage="P"),VLOOKUP($BF30,TBPI[],COLUMN(TBPI[cot2]),FALSE),
IF(AND(teacher_type="TB",career_stage="HP"),VLOOKUP($BF30,TBHPI[],COLUMN(TBHPI[cot2]),FALSE),FALSE)))),
FALSE))),FALSE)</f>
        <v>0</v>
      </c>
      <c r="BJ30" s="154" t="b">
        <v>0</v>
      </c>
      <c r="BK30" s="196" t="b" cm="1">
        <f t="array" ref="BK30">IFERROR(IF(OR(LOWER(TRIM(W$20))=LOWER(TRIM(data2!$U$35)),LOWER(TRIM(W$20))=LOWER(TRIM(data2!$U$36))),FALSE,AND(W$12,IF(AND($G30,$D30="COI"),
IF(AND(teacher_type="R",career_stage="P"),VLOOKUP($BF30,RPI[],COLUMN(RPI[cot3]),FALSE),
IF(AND(teacher_type="R",career_stage="HP"),VLOOKUP($BF30,RHPI[],COLUMN(RHPI[cot3]),FALSE),
IF(AND(teacher_type="TB",career_stage="P"),VLOOKUP($BF30,TBPI[],COLUMN(TBPI[cot3]),FALSE),
IF(AND(teacher_type="TB",career_stage="HP"),VLOOKUP($BF30,TBHPI[],COLUMN(TBHPI[cot3]),FALSE),FALSE)))),
FALSE))),FALSE)</f>
        <v>1</v>
      </c>
      <c r="BL30" s="154" t="b">
        <v>0</v>
      </c>
      <c r="BM30" s="196" t="b" cm="1">
        <f t="array" ref="BM30">IFERROR(IF(OR(LOWER(TRIM(Y$20))=LOWER(TRIM(data2!$U$35)),LOWER(TRIM(Y$20))=LOWER(TRIM(data2!$U$36))),FALSE,AND(Y$12,IF(AND($G30,$D30="COI"),
IF(AND(teacher_type="R",career_stage="P"),VLOOKUP($BF30,RPI[],COLUMN(RPI[cot4]),FALSE),
IF(AND(teacher_type="R",career_stage="HP"),VLOOKUP($BF30,RHPI[],COLUMN(RHPI[cot4]),FALSE),
IF(AND(teacher_type="TB",career_stage="P"),VLOOKUP($BF30,TBPI[],COLUMN(TBPI[cot4]),FALSE),
IF(AND(teacher_type="TB",career_stage="HP"),VLOOKUP($BF30,TBHPI[],COLUMN(TBHPI[cot4]),FALSE),FALSE)))),
FALSE))),FALSE)</f>
        <v>0</v>
      </c>
      <c r="BN30" s="154" t="b">
        <v>0</v>
      </c>
      <c r="BO30" s="150">
        <f t="shared" si="16"/>
        <v>2</v>
      </c>
      <c r="BP30" s="196" t="b">
        <f t="shared" si="17"/>
        <v>0</v>
      </c>
      <c r="BQ30" s="196" t="b">
        <f>IFERROR(IF(OR(NOT(CZ30),LOWER(TRIM(S$20))=LOWER(TRIM(data2!$U$35))),TRUE,IF(AND(CZ30,LOWER(TRIM(S$20))=LOWER(TRIM(data2!$U$36))),FALSE)),FALSE)</f>
        <v>0</v>
      </c>
      <c r="BR30" s="196" t="b">
        <f t="shared" si="18"/>
        <v>1</v>
      </c>
      <c r="BS30" s="196" t="b">
        <f>IFERROR(IF(OR(NOT(DB30),LOWER(TRIM(U$20))=LOWER(TRIM(data2!$U$35))),TRUE,IF(AND(DB30,LOWER(TRIM(U$20))=LOWER(TRIM(data2!$U$36))),FALSE)),FALSE)</f>
        <v>1</v>
      </c>
      <c r="BT30" s="196" t="b">
        <f t="shared" si="19"/>
        <v>0</v>
      </c>
      <c r="BU30" s="196" t="b">
        <f>IFERROR(IF(OR(NOT(DD30),LOWER(TRIM(W$20))=LOWER(TRIM(data2!$U$35))),TRUE,IF(AND(DD30,LOWER(TRIM(W$20))=LOWER(TRIM(data2!$U$36))),FALSE)),FALSE)</f>
        <v>0</v>
      </c>
      <c r="BV30" s="196" t="b">
        <f t="shared" si="20"/>
        <v>1</v>
      </c>
      <c r="BW30" s="196" t="b">
        <f>IFERROR(IF(OR(NOT(DF30),LOWER(TRIM(Y$20))=LOWER(TRIM(data2!$U$35))),TRUE,IF(AND(DF30,LOWER(TRIM(Y$20))=LOWER(TRIM(data2!$U$36))),FALSE)),FALSE)</f>
        <v>1</v>
      </c>
      <c r="BY30" s="154" t="str">
        <f t="shared" si="21"/>
        <v/>
      </c>
      <c r="BZ30" s="154" t="str">
        <f t="shared" si="22"/>
        <v>2.2.2-E-COI</v>
      </c>
      <c r="CA30" s="154" t="str">
        <f t="shared" si="23"/>
        <v/>
      </c>
      <c r="CB30" s="154" t="str">
        <f t="shared" si="24"/>
        <v>CE30:CI30</v>
      </c>
      <c r="CC30" s="154" t="str">
        <f t="shared" si="25"/>
        <v>CK30:CO30</v>
      </c>
      <c r="CD30" s="154" t="str">
        <f t="shared" si="26"/>
        <v>CQ30:CU30</v>
      </c>
      <c r="CE30" s="359" cm="1">
        <f t="array" ref="CE30">IFERROR(IF($BY30&lt;&gt;"",
IF(AND(teacher_type="R",career_stage="P"),
    IF(INDEX(RPS[[Outstanding]:[Poor]],MATCH($BY30,RPS[[helper]:[helper]],0),CE$19)&lt;&gt;"",CE$20,""),
IF(AND(teacher_type="R",career_stage="HP"),
    IF(INDEX(RHPS[[Outstanding]:[Poor]],MATCH($BY30,RHPS[[helper]:[helper]],0),CE$19)&lt;&gt;"",CE$20,""),
IF(AND(teacher_type="TB",career_stage="P"),
    IF(INDEX(TBPS[[Outstanding]:[Poor]],MATCH($BY30,TBPS[[helper]:[helper]],0),CE$19)&lt;&gt;"",CE$20,""),
IF(AND(teacher_type="TB",career_stage="HP"),
    IF(INDEX(TBHPS[[Outstanding]:[Poor]],MATCH($BY30,TBHPS[[helper]:[helper]],0),CE$19)&lt;&gt;"",CE$20,""),
CE$20)))),
CE$20),CE$20)</f>
        <v>5</v>
      </c>
      <c r="CF30" s="359" cm="1">
        <f t="array" ref="CF30">IFERROR(IF($BY30&lt;&gt;"",
IF(AND(teacher_type="R",career_stage="P"),
    IF(INDEX(RPS[[Outstanding]:[Poor]],MATCH($BY30,RPS[[helper]:[helper]],0),CF$19)&lt;&gt;"",CF$20,""),
IF(AND(teacher_type="R",career_stage="HP"),
    IF(INDEX(RHPS[[Outstanding]:[Poor]],MATCH($BY30,RHPS[[helper]:[helper]],0),CF$19)&lt;&gt;"",CF$20,""),
IF(AND(teacher_type="TB",career_stage="P"),
    IF(INDEX(TBPS[[Outstanding]:[Poor]],MATCH($BY30,TBPS[[helper]:[helper]],0),CF$19)&lt;&gt;"",CF$20,""),
IF(AND(teacher_type="TB",career_stage="HP"),
    IF(INDEX(TBHPS[[Outstanding]:[Poor]],MATCH($BY30,TBHPS[[helper]:[helper]],0),CF$19)&lt;&gt;"",CF$20,""),
CF$20)))),
CF$20),CF$20)</f>
        <v>4</v>
      </c>
      <c r="CG30" s="359" cm="1">
        <f t="array" ref="CG30">IFERROR(IF($BY30&lt;&gt;"",
IF(AND(teacher_type="R",career_stage="P"),
    IF(INDEX(RPS[[Outstanding]:[Poor]],MATCH($BY30,RPS[[helper]:[helper]],0),CG$19)&lt;&gt;"",CG$20,""),
IF(AND(teacher_type="R",career_stage="HP"),
    IF(INDEX(RHPS[[Outstanding]:[Poor]],MATCH($BY30,RHPS[[helper]:[helper]],0),CG$19)&lt;&gt;"",CG$20,""),
IF(AND(teacher_type="TB",career_stage="P"),
    IF(INDEX(TBPS[[Outstanding]:[Poor]],MATCH($BY30,TBPS[[helper]:[helper]],0),CG$19)&lt;&gt;"",CG$20,""),
IF(AND(teacher_type="TB",career_stage="HP"),
    IF(INDEX(TBHPS[[Outstanding]:[Poor]],MATCH($BY30,TBHPS[[helper]:[helper]],0),CG$19)&lt;&gt;"",CG$20,""),
CG$20)))),
CG$20),CG$20)</f>
        <v>3</v>
      </c>
      <c r="CH30" s="359" cm="1">
        <f t="array" ref="CH30">IFERROR(IF($BY30&lt;&gt;"",
IF(AND(teacher_type="R",career_stage="P"),
    IF(INDEX(RPS[[Outstanding]:[Poor]],MATCH($BY30,RPS[[helper]:[helper]],0),CH$19)&lt;&gt;"",CH$20,""),
IF(AND(teacher_type="R",career_stage="HP"),
    IF(INDEX(RHPS[[Outstanding]:[Poor]],MATCH($BY30,RHPS[[helper]:[helper]],0),CH$19)&lt;&gt;"",CH$20,""),
IF(AND(teacher_type="TB",career_stage="P"),
    IF(INDEX(TBPS[[Outstanding]:[Poor]],MATCH($BY30,TBPS[[helper]:[helper]],0),CH$19)&lt;&gt;"",CH$20,""),
IF(AND(teacher_type="TB",career_stage="HP"),
    IF(INDEX(TBHPS[[Outstanding]:[Poor]],MATCH($BY30,TBHPS[[helper]:[helper]],0),CH$19)&lt;&gt;"",CH$20,""),
CH$20)))),
CH$20),CH$20)</f>
        <v>2</v>
      </c>
      <c r="CI30" s="359" cm="1">
        <f t="array" ref="CI30">IFERROR(IF($BY30&lt;&gt;"",
IF(AND(teacher_type="R",career_stage="P"),
    IF(INDEX(RPS[[Outstanding]:[Poor]],MATCH($BY30,RPS[[helper]:[helper]],0),CI$19)&lt;&gt;"",CI$20,""),
IF(AND(teacher_type="R",career_stage="HP"),
    IF(INDEX(RHPS[[Outstanding]:[Poor]],MATCH($BY30,RHPS[[helper]:[helper]],0),CI$19)&lt;&gt;"",CI$20,""),
IF(AND(teacher_type="TB",career_stage="P"),
    IF(INDEX(TBPS[[Outstanding]:[Poor]],MATCH($BY30,TBPS[[helper]:[helper]],0),CI$19)&lt;&gt;"",CI$20,""),
IF(AND(teacher_type="TB",career_stage="HP"),
    IF(INDEX(TBHPS[[Outstanding]:[Poor]],MATCH($BY30,TBHPS[[helper]:[helper]],0),CI$19)&lt;&gt;"",CI$20,""),
CI$20)))),
CI$20),CI$20)</f>
        <v>1</v>
      </c>
      <c r="CJ30" s="360">
        <f t="shared" si="27"/>
        <v>5</v>
      </c>
      <c r="CK30" s="359" cm="1">
        <f t="array" ref="CK30">IFERROR(IF($BZ30&lt;&gt;"",
IF(AND(teacher_type="R",career_stage="P"),
    IF(INDEX(RPS[[Outstanding]:[Poor]],MATCH($BZ30,RPS[[helper]:[helper]],0),CK$19)&lt;&gt;"",CK$20,""),
IF(AND(teacher_type="R",career_stage="HP"),
    IF(INDEX(RHPS[[Outstanding]:[Poor]],MATCH($BZ30,RHPS[[helper]:[helper]],0),CK$19)&lt;&gt;"",CK$20,""),
IF(AND(teacher_type="TB",career_stage="P"),
    IF(INDEX(TBPS[[Outstanding]:[Poor]],MATCH($BZ30,TBPS[[helper]:[helper]],0),CK$19)&lt;&gt;"",CK$20,""),
IF(AND(teacher_type="TB",career_stage="HP"),
    IF(INDEX(TBHPS[[Outstanding]:[Poor]],MATCH($BZ30,TBHPS[[helper]:[helper]],0),CK$19)&lt;&gt;"",CK$20,""),
CK$20)))),
CK$20),CK$20)</f>
        <v>5</v>
      </c>
      <c r="CL30" s="359" t="str" cm="1">
        <f t="array" ref="CL30">IFERROR(IF($BZ30&lt;&gt;"",
IF(AND(teacher_type="R",career_stage="P"),
    IF(INDEX(RPS[[Outstanding]:[Poor]],MATCH($BZ30,RPS[[helper]:[helper]],0),CL$19)&lt;&gt;"",CL$20,""),
IF(AND(teacher_type="R",career_stage="HP"),
    IF(INDEX(RHPS[[Outstanding]:[Poor]],MATCH($BZ30,RHPS[[helper]:[helper]],0),CL$19)&lt;&gt;"",CL$20,""),
IF(AND(teacher_type="TB",career_stage="P"),
    IF(INDEX(TBPS[[Outstanding]:[Poor]],MATCH($BZ30,TBPS[[helper]:[helper]],0),CL$19)&lt;&gt;"",CL$20,""),
IF(AND(teacher_type="TB",career_stage="HP"),
    IF(INDEX(TBHPS[[Outstanding]:[Poor]],MATCH($BZ30,TBHPS[[helper]:[helper]],0),CL$19)&lt;&gt;"",CL$20,""),
CL$20)))),
CL$20),CL$20)</f>
        <v/>
      </c>
      <c r="CM30" s="359" cm="1">
        <f t="array" ref="CM30">IFERROR(IF($BZ30&lt;&gt;"",
IF(AND(teacher_type="R",career_stage="P"),
    IF(INDEX(RPS[[Outstanding]:[Poor]],MATCH($BZ30,RPS[[helper]:[helper]],0),CM$19)&lt;&gt;"",CM$20,""),
IF(AND(teacher_type="R",career_stage="HP"),
    IF(INDEX(RHPS[[Outstanding]:[Poor]],MATCH($BZ30,RHPS[[helper]:[helper]],0),CM$19)&lt;&gt;"",CM$20,""),
IF(AND(teacher_type="TB",career_stage="P"),
    IF(INDEX(TBPS[[Outstanding]:[Poor]],MATCH($BZ30,TBPS[[helper]:[helper]],0),CM$19)&lt;&gt;"",CM$20,""),
IF(AND(teacher_type="TB",career_stage="HP"),
    IF(INDEX(TBHPS[[Outstanding]:[Poor]],MATCH($BZ30,TBHPS[[helper]:[helper]],0),CM$19)&lt;&gt;"",CM$20,""),
CM$20)))),
CM$20),CM$20)</f>
        <v>3</v>
      </c>
      <c r="CN30" s="359" t="str" cm="1">
        <f t="array" ref="CN30">IFERROR(IF($BZ30&lt;&gt;"",
IF(AND(teacher_type="R",career_stage="P"),
    IF(INDEX(RPS[[Outstanding]:[Poor]],MATCH($BZ30,RPS[[helper]:[helper]],0),CN$19)&lt;&gt;"",CN$20,""),
IF(AND(teacher_type="R",career_stage="HP"),
    IF(INDEX(RHPS[[Outstanding]:[Poor]],MATCH($BZ30,RHPS[[helper]:[helper]],0),CN$19)&lt;&gt;"",CN$20,""),
IF(AND(teacher_type="TB",career_stage="P"),
    IF(INDEX(TBPS[[Outstanding]:[Poor]],MATCH($BZ30,TBPS[[helper]:[helper]],0),CN$19)&lt;&gt;"",CN$20,""),
IF(AND(teacher_type="TB",career_stage="HP"),
    IF(INDEX(TBHPS[[Outstanding]:[Poor]],MATCH($BZ30,TBHPS[[helper]:[helper]],0),CN$19)&lt;&gt;"",CN$20,""),
CN$20)))),
CN$20),CN$20)</f>
        <v/>
      </c>
      <c r="CO30" s="359" cm="1">
        <f t="array" ref="CO30">IFERROR(IF($BZ30&lt;&gt;"",
IF(AND(teacher_type="R",career_stage="P"),
    IF(INDEX(RPS[[Outstanding]:[Poor]],MATCH($BZ30,RPS[[helper]:[helper]],0),CO$19)&lt;&gt;"",CO$20,""),
IF(AND(teacher_type="R",career_stage="HP"),
    IF(INDEX(RHPS[[Outstanding]:[Poor]],MATCH($BZ30,RHPS[[helper]:[helper]],0),CO$19)&lt;&gt;"",CO$20,""),
IF(AND(teacher_type="TB",career_stage="P"),
    IF(INDEX(TBPS[[Outstanding]:[Poor]],MATCH($BZ30,TBPS[[helper]:[helper]],0),CO$19)&lt;&gt;"",CO$20,""),
IF(AND(teacher_type="TB",career_stage="HP"),
    IF(INDEX(TBHPS[[Outstanding]:[Poor]],MATCH($BZ30,TBHPS[[helper]:[helper]],0),CO$19)&lt;&gt;"",CO$20,""),
CO$20)))),
CO$20),CO$20)</f>
        <v>1</v>
      </c>
      <c r="CP30" s="360">
        <f t="shared" si="28"/>
        <v>3</v>
      </c>
      <c r="CQ30" s="359" cm="1">
        <f t="array" ref="CQ30">IFERROR(IF($CA30&lt;&gt;"",
IF(AND(teacher_type="R",career_stage="P"),
    IF(INDEX(RPS[[Outstanding]:[Poor]],MATCH($CA30,RPS[[helper]:[helper]],0),CQ$19)&lt;&gt;"",CQ$20,""),
IF(AND(teacher_type="R",career_stage="HP"),
    IF(INDEX(RHPS[[Outstanding]:[Poor]],MATCH($CA30,RHPS[[helper]:[helper]],0),CQ$19)&lt;&gt;"",CQ$20,""),
IF(AND(teacher_type="TB",career_stage="P"),
    IF(INDEX(TBPS[[Outstanding]:[Poor]],MATCH($CA30,TBPS[[helper]:[helper]],0),CQ$19)&lt;&gt;"",CQ$20,""),
IF(AND(teacher_type="TB",career_stage="HP"),
    IF(INDEX(TBHPS[[Outstanding]:[Poor]],MATCH($CA30,TBHPS[[helper]:[helper]],0),CQ$19)&lt;&gt;"",CQ$20,""),
CQ$20)))),
CQ$20),CQ$20)</f>
        <v>5</v>
      </c>
      <c r="CR30" s="359" cm="1">
        <f t="array" ref="CR30">IFERROR(IF($CA30&lt;&gt;"",
IF(AND(teacher_type="R",career_stage="P"),
    IF(INDEX(RPS[[Outstanding]:[Poor]],MATCH($CA30,RPS[[helper]:[helper]],0),CR$19)&lt;&gt;"",CR$20,""),
IF(AND(teacher_type="R",career_stage="HP"),
    IF(INDEX(RHPS[[Outstanding]:[Poor]],MATCH($CA30,RHPS[[helper]:[helper]],0),CR$19)&lt;&gt;"",CR$20,""),
IF(AND(teacher_type="TB",career_stage="P"),
    IF(INDEX(TBPS[[Outstanding]:[Poor]],MATCH($CA30,TBPS[[helper]:[helper]],0),CR$19)&lt;&gt;"",CR$20,""),
IF(AND(teacher_type="TB",career_stage="HP"),
    IF(INDEX(TBHPS[[Outstanding]:[Poor]],MATCH($CA30,TBHPS[[helper]:[helper]],0),CR$19)&lt;&gt;"",CR$20,""),
CR$20)))),
CR$20),CR$20)</f>
        <v>4</v>
      </c>
      <c r="CS30" s="359" cm="1">
        <f t="array" ref="CS30">IFERROR(IF($CA30&lt;&gt;"",
IF(AND(teacher_type="R",career_stage="P"),
    IF(INDEX(RPS[[Outstanding]:[Poor]],MATCH($CA30,RPS[[helper]:[helper]],0),CS$19)&lt;&gt;"",CS$20,""),
IF(AND(teacher_type="R",career_stage="HP"),
    IF(INDEX(RHPS[[Outstanding]:[Poor]],MATCH($CA30,RHPS[[helper]:[helper]],0),CS$19)&lt;&gt;"",CS$20,""),
IF(AND(teacher_type="TB",career_stage="P"),
    IF(INDEX(TBPS[[Outstanding]:[Poor]],MATCH($CA30,TBPS[[helper]:[helper]],0),CS$19)&lt;&gt;"",CS$20,""),
IF(AND(teacher_type="TB",career_stage="HP"),
    IF(INDEX(TBHPS[[Outstanding]:[Poor]],MATCH($CA30,TBHPS[[helper]:[helper]],0),CS$19)&lt;&gt;"",CS$20,""),
CS$20)))),
CS$20),CS$20)</f>
        <v>3</v>
      </c>
      <c r="CT30" s="359" cm="1">
        <f t="array" ref="CT30">IFERROR(IF($CA30&lt;&gt;"",
IF(AND(teacher_type="R",career_stage="P"),
    IF(INDEX(RPS[[Outstanding]:[Poor]],MATCH($CA30,RPS[[helper]:[helper]],0),CT$19)&lt;&gt;"",CT$20,""),
IF(AND(teacher_type="R",career_stage="HP"),
    IF(INDEX(RHPS[[Outstanding]:[Poor]],MATCH($CA30,RHPS[[helper]:[helper]],0),CT$19)&lt;&gt;"",CT$20,""),
IF(AND(teacher_type="TB",career_stage="P"),
    IF(INDEX(TBPS[[Outstanding]:[Poor]],MATCH($CA30,TBPS[[helper]:[helper]],0),CT$19)&lt;&gt;"",CT$20,""),
IF(AND(teacher_type="TB",career_stage="HP"),
    IF(INDEX(TBHPS[[Outstanding]:[Poor]],MATCH($CA30,TBHPS[[helper]:[helper]],0),CT$19)&lt;&gt;"",CT$20,""),
CT$20)))),
CT$20),CT$20)</f>
        <v>2</v>
      </c>
      <c r="CU30" s="359" cm="1">
        <f t="array" ref="CU30">IFERROR(IF($CA30&lt;&gt;"",
IF(AND(teacher_type="R",career_stage="P"),
    IF(INDEX(RPS[[Outstanding]:[Poor]],MATCH($CA30,RPS[[helper]:[helper]],0),CU$19)&lt;&gt;"",CU$20,""),
IF(AND(teacher_type="R",career_stage="HP"),
    IF(INDEX(RHPS[[Outstanding]:[Poor]],MATCH($CA30,RHPS[[helper]:[helper]],0),CU$19)&lt;&gt;"",CU$20,""),
IF(AND(teacher_type="TB",career_stage="P"),
    IF(INDEX(TBPS[[Outstanding]:[Poor]],MATCH($CA30,TBPS[[helper]:[helper]],0),CU$19)&lt;&gt;"",CU$20,""),
IF(AND(teacher_type="TB",career_stage="HP"),
    IF(INDEX(TBHPS[[Outstanding]:[Poor]],MATCH($CA30,TBHPS[[helper]:[helper]],0),CU$19)&lt;&gt;"",CU$20,""),
CU$20)))),
CU$20),CU$20)</f>
        <v>1</v>
      </c>
      <c r="CV30" s="360">
        <f t="shared" si="29"/>
        <v>5</v>
      </c>
      <c r="CY30" s="443" t="b" cm="1">
        <f t="array" ref="CY30">IFERROR(AND(S$12,IF(AND($G30,$D30="COI"),
IF(AND(teacher_type="R",career_stage="P"),VLOOKUP($BF30,RPI[],COLUMN(RPI[cot1]),FALSE),
IF(AND(teacher_type="R",career_stage="HP"),VLOOKUP($BF30,RHPI[],COLUMN(RHPI[cot1]),FALSE),
IF(AND(teacher_type="TB",career_stage="P"),VLOOKUP($BF30,TBPI[],COLUMN(TBPI[cot1]),FALSE),
IF(AND(teacher_type="TB",career_stage="HP"),VLOOKUP($BF30,TBHPI[],COLUMN(TBHPI[cot1]),FALSE),FALSE)))),
FALSE)),FALSE)</f>
        <v>1</v>
      </c>
      <c r="CZ30" s="443" t="b">
        <f t="shared" si="30"/>
        <v>1</v>
      </c>
      <c r="DA30" s="443" t="b" cm="1">
        <f t="array" ref="DA30">IFERROR(AND(U$12,IF(AND($G30,$D30="COI"),
IF(AND(teacher_type="R",career_stage="P"),VLOOKUP($BF30,RPI[],COLUMN(RPI[cot2]),FALSE),
IF(AND(teacher_type="R",career_stage="HP"),VLOOKUP($BF30,RHPI[],COLUMN(RHPI[cot2]),FALSE),
IF(AND(teacher_type="TB",career_stage="P"),VLOOKUP($BF30,TBPI[],COLUMN(TBPI[cot2]),FALSE),
IF(AND(teacher_type="TB",career_stage="HP"),VLOOKUP($BF30,TBHPI[],COLUMN(TBHPI[cot2]),FALSE),FALSE)))),
FALSE)),FALSE)</f>
        <v>0</v>
      </c>
      <c r="DB30" s="443" t="b">
        <f t="shared" si="31"/>
        <v>0</v>
      </c>
      <c r="DC30" s="443" t="b" cm="1">
        <f t="array" ref="DC30">IFERROR(AND(W$12,IF(AND($G30,$D30="COI"),
IF(AND(teacher_type="R",career_stage="P"),VLOOKUP($BF30,RPI[],COLUMN(RPI[cot3]),FALSE),
IF(AND(teacher_type="R",career_stage="HP"),VLOOKUP($BF30,RHPI[],COLUMN(RHPI[cot3]),FALSE),
IF(AND(teacher_type="TB",career_stage="P"),VLOOKUP($BF30,TBPI[],COLUMN(TBPI[cot3]),FALSE),
IF(AND(teacher_type="TB",career_stage="HP"),VLOOKUP($BF30,TBHPI[],COLUMN(TBHPI[cot3]),FALSE),FALSE)))),
FALSE)),FALSE)</f>
        <v>1</v>
      </c>
      <c r="DD30" s="443" t="b">
        <f t="shared" si="32"/>
        <v>1</v>
      </c>
      <c r="DE30" s="443" t="b" cm="1">
        <f t="array" ref="DE30">IFERROR(AND(Y$12,IF(AND($G30,$D30="COI"),
IF(AND(teacher_type="R",career_stage="P"),VLOOKUP($BF30,RPI[],COLUMN(RPI[cot4]),FALSE),
IF(AND(teacher_type="R",career_stage="HP"),VLOOKUP($BF30,RHPI[],COLUMN(RHPI[cot4]),FALSE),
IF(AND(teacher_type="TB",career_stage="P"),VLOOKUP($BF30,TBPI[],COLUMN(TBPI[cot4]),FALSE),
IF(AND(teacher_type="TB",career_stage="HP"),VLOOKUP($BF30,TBHPI[],COLUMN(TBHPI[cot4]),FALSE),FALSE)))),
FALSE)),FALSE)</f>
        <v>0</v>
      </c>
      <c r="DF30" s="443" t="b">
        <f t="shared" si="33"/>
        <v>0</v>
      </c>
      <c r="DG30" s="150">
        <f t="shared" si="34"/>
        <v>2</v>
      </c>
      <c r="DH30" s="154">
        <f>IF(AND(CY30,LOWER(TRIM(S$20))=LOWER(TRIM(data2!$U$35))),1,0) +
IF(AND(DA30,LOWER(TRIM(U$20))=LOWER(TRIM(data2!$U$35))),1,0) +
IF(AND(DC30,LOWER(TRIM(W$20))=LOWER(TRIM(data2!$U$35))),1,0) +
IF(AND(DE30,LOWER(TRIM(Y$20))=LOWER(TRIM(data2!$U$35))),1,0)</f>
        <v>0</v>
      </c>
      <c r="DJ30" s="154">
        <f t="shared" si="35"/>
        <v>2</v>
      </c>
    </row>
    <row r="31" spans="1:116" s="154" customFormat="1" ht="24.95" hidden="1" customHeight="1" x14ac:dyDescent="0.25">
      <c r="A31" s="156"/>
      <c r="B31" s="154">
        <v>10</v>
      </c>
      <c r="C31" s="150" t="str">
        <f>IFERROR(IF(AND(teacher_type="R",career_stage="P"),VLOOKUP(O31,RPI[],COLUMNS(RPI[[Strand]:[admin_selected_coi_ncoi]]),FALSE),IF(AND(teacher_type="R",career_stage="HP"),VLOOKUP(O31,RHPI[],COLUMNS(RHPI[[Strand]:[admin_selected_coi_ncoi]]),FALSE),IF(AND(teacher_type="TB",career_stage="P"),VLOOKUP(O31,TBPI[],COLUMNS(TBPI[[Strand]:[admin_selected_coi_ncoi]]),FALSE),IF(AND(teacher_type="TB",career_stage="HP"),VLOOKUP(O31,TBHPI[],COLUMNS(TBHPI[[Strand]:[admin_selected_coi_ncoi]]),FALSE),"NCOI")))),"NCOI")</f>
        <v>COI</v>
      </c>
      <c r="D31" s="150" t="str">
        <f t="shared" si="10"/>
        <v/>
      </c>
      <c r="E31" s="150">
        <f>IFERROR(IF(AND(teacher_type="R",career_stage="P"),VLOOKUP($O31,RPI[[Strand]:[Domain]],COLUMNS(RPI[[Strand]:[Domain]]),FALSE),IF(AND(teacher_type="R",career_stage="HP"),VLOOKUP($O31,RHPI[[Strand]:[Domain]],COLUMNS(RHPI[[Strand]:[Domain]]),FALSE),IF(AND(teacher_type="TB",career_stage="P"),VLOOKUP($O31,TBPI[[Strand]:[Domain]],COLUMNS(TBPI[[Strand]:[Domain]]),FALSE),IF(AND(teacher_type="TB",career_stage="HP"),VLOOKUP($O31,TBHPI[[Strand]:[Domain]],COLUMNS(TBHPI[[Strand]:[Domain]]),FALSE),"")))),"")</f>
        <v>2</v>
      </c>
      <c r="F31" s="155" t="b">
        <f>AND(COUNTIFS($E$22:$E31,E31,$G$22:$G31,TRUE)=1,$G31)</f>
        <v>0</v>
      </c>
      <c r="G31" s="212" t="b">
        <f>IFERROR(IF(AND(teacher_type="R",career_stage="P"),VLOOKUP($O31,RPI[],COLUMNS(RPI[[Strand]:[Selected]]),FALSE),IF(AND(teacher_type="R",career_stage="HP"),VLOOKUP($O31,RHPI[],COLUMNS(RHPI[[Strand]:[Selected]]),FALSE),IF(AND(teacher_type="TB",career_stage="P"),VLOOKUP($O31,TBPI[],COLUMNS(TBPI[[Strand]:[Selected]]),FALSE),IF(AND(teacher_type="TB",career_stage="HP"),VLOOKUP($O31,TBHPI[],COLUMNS(TBHPI[[Strand]:[Selected]]),FALSE),FALSE)))),FALSE)</f>
        <v>0</v>
      </c>
      <c r="H31" s="156" t="b">
        <f>IFERROR(IF(AND(teacher_type="R",career_stage="P"),AND(COUNTIFS(RPS[Strand],$O31,RPS[QET],H$21)&gt;0,$G31),IF(AND(teacher_type="R",career_stage="HP"),AND(COUNTIFS(RHPS[Strand],$O31,RHPS[QET],H$21)&gt;0,$G31),IF(AND(teacher_type="TB",career_stage="P"),AND(COUNTIFS(TBPS[Strand],$O31,TBPS[QET],H$21)&gt;0,$G31),IF(AND(teacher_type="TB",career_stage="HP"),AND(COUNTIFS(TBHPS[Strand],$O31,TBHPS[QET],H$21)&gt;0,$G31),FALSE)))),FALSE)</f>
        <v>0</v>
      </c>
      <c r="I31" s="156" t="b">
        <f t="shared" si="11"/>
        <v>0</v>
      </c>
      <c r="J31" s="156" t="b">
        <f>IFERROR(IF(AND(teacher_type="R",career_stage="P"),AND(COUNTIFS(RPS[Strand],$O31,RPS[QET],J$21)&gt;0,$G31),IF(AND(teacher_type="R",career_stage="HP"),AND(COUNTIFS(RHPS[Strand],$O31,RHPS[QET],J$21)&gt;0,$G31),IF(AND(teacher_type="TB",career_stage="P"),AND(COUNTIFS(TBPS[Strand],$O31,TBPS[QET],J$21)&gt;0,$G31),IF(AND(teacher_type="TB",career_stage="HP"),AND(COUNTIFS(TBHPS[Strand],$O31,TBHPS[QET],J$21)&gt;0,$G31),FALSE)))),FALSE)</f>
        <v>0</v>
      </c>
      <c r="K31" s="156" t="b">
        <f>IFERROR(IF(AND(teacher_type="R",career_stage="P"),AND(COUNTIFS(RPS[Strand],$O31,RPS[QET],K$21)&gt;0,$G31),IF(AND(teacher_type="R",career_stage="HP"),AND(COUNTIFS(RHPS[Strand],$O31,RHPS[QET],K$21)&gt;0,$G31),IF(AND(teacher_type="TB",career_stage="P"),AND(COUNTIFS(TBPS[Strand],$O31,TBPS[QET],K$21)&gt;0,$G31),IF(AND(teacher_type="TB",career_stage="HP"),AND(COUNTIFS(TBHPS[Strand],$O31,TBHPS[QET],K$21)&gt;0,$G31),FALSE)))),FALSE)</f>
        <v>0</v>
      </c>
      <c r="L31" s="156" t="b">
        <f t="shared" si="12"/>
        <v>0</v>
      </c>
      <c r="M31" s="165" t="str">
        <f t="shared" si="13"/>
        <v/>
      </c>
      <c r="N31" s="48" t="str">
        <f>IF($G31,COUNTIF($G$22:$G31,TRUE),"")</f>
        <v/>
      </c>
      <c r="O31" s="48" t="str" cm="1">
        <f t="array" ref="O31">IFERROR(IF(AND(teacher_type="R",career_stage="P"),INDEX(RPI[Strand],$B31),IF(AND(teacher_type="R",career_stage="HP"),INDEX(RHPI[Strand],$B31),IF(AND(teacher_type="TB",career_stage="P"),INDEX(TBPI[Strand],$B31),IF(AND(teacher_type="TB",career_stage="HP"),INDEX(TBHPI[Strand],$B31),"")))),"")</f>
        <v>2.3.2</v>
      </c>
      <c r="P31" s="166" t="str">
        <f>$C$31</f>
        <v>COI</v>
      </c>
      <c r="Q31" s="167">
        <f>IFERROR(IF(AND(teacher_type="R",career_stage="P"),VLOOKUP(O31,RPI[],COLUMNS(RPI[[Strand]:[Weight]]),FALSE), IF(AND(teacher_type="R",career_stage="HP"),VLOOKUP(O31,RHPI[],COLUMNS(RHPI[[Strand]:[Weight]]),FALSE), IF(AND(teacher_type="TB",career_stage="P"),VLOOKUP(O31,TBPI[],COLUMNS(TBPI[[Strand]:[Weight]]),FALSE), IF(AND(teacher_type="TB",career_stage="HP"),VLOOKUP(O31,TBHPI[],COLUMNS(TBHPI[[Strand]:[Weight]]),FALSE),0)))),0)</f>
        <v>0</v>
      </c>
      <c r="R31" s="168">
        <f>COUNTIFS($D$22:D31,"COI",$G$22:G31,TRUE)</f>
        <v>6</v>
      </c>
      <c r="S31" s="483"/>
      <c r="T31" s="169" t="str">
        <f>IFERROR(IF(LOWER(TRIM(S$20))=LOWER(TRIM(data2!$U$35)),"",IF(AND($G31,$D31="COI",S$12,CZ31),IF(OR(LOWER(TRIM(S$20))=LOWER(TRIM(data2!$U$36)),ISBLANK(S31)),1,IF(career_stage="P",VLOOKUP(S31,P_COT_vlookup,2,FALSE),IF(career_stage="HP",VLOOKUP(S31,HP_COT_vlookup,2,FALSE),""))),"")),"")</f>
        <v/>
      </c>
      <c r="U31" s="489"/>
      <c r="V31" s="170" t="str">
        <f>IFERROR(IF(LOWER(TRIM(U$20))=LOWER(TRIM(data2!$U$35)),"",IF(AND($G31,$D31="COI",U$12,DB31),IF(OR(LOWER(TRIM(U$20))=LOWER(TRIM(data2!$U$36)),ISBLANK(U31)),1,IF(career_stage="P",VLOOKUP(U31,P_COT_vlookup,2,FALSE),IF(career_stage="HP",VLOOKUP(U31,HP_COT_vlookup,2,FALSE),""))),"")),"")</f>
        <v/>
      </c>
      <c r="W31" s="483"/>
      <c r="X31" s="169" t="str">
        <f>IFERROR(IF(LOWER(TRIM(W$20))=LOWER(TRIM(data2!$U$35)),"",IF(AND($G31,$D31="COI",W$12,DD31),IF(OR(LOWER(TRIM(W$20))=LOWER(TRIM(data2!$U$36)),ISBLANK(W31)),1,IF(career_stage="P",VLOOKUP(W31,P_COT_vlookup,2,FALSE),IF(career_stage="HP",VLOOKUP(W31,HP_COT_vlookup,2,FALSE),""))),"")),"")</f>
        <v/>
      </c>
      <c r="Y31" s="489"/>
      <c r="Z31" s="170" t="str">
        <f>IFERROR(IF(LOWER(TRIM(Y$20))=LOWER(TRIM(data2!$U$35)),"",IF(AND($G31,$D31="COI",Y$12,DF31),IF(OR(LOWER(TRIM(Y$20))=LOWER(TRIM(data2!$U$36)),ISBLANK(Y31)),1,IF(career_stage="P",VLOOKUP(Y31,P_COT_vlookup,2,FALSE),IF(career_stage="HP",VLOOKUP(Y31,HP_COT_vlookup,2,FALSE),""))),"")),"")</f>
        <v/>
      </c>
      <c r="AA31" s="171">
        <f t="shared" si="14"/>
        <v>0</v>
      </c>
      <c r="AB31" s="471"/>
      <c r="AC31" s="473"/>
      <c r="AD31" s="473"/>
      <c r="AE31" s="49">
        <f t="shared" si="2"/>
        <v>0</v>
      </c>
      <c r="AF31" s="49">
        <f t="shared" si="3"/>
        <v>0</v>
      </c>
      <c r="AG31" s="172" t="str">
        <f t="shared" si="4"/>
        <v>Poor</v>
      </c>
      <c r="AI31" s="196" t="b">
        <f t="shared" si="5"/>
        <v>1</v>
      </c>
      <c r="AJ31" s="154" t="b">
        <v>1</v>
      </c>
      <c r="AK31" s="154" t="b">
        <v>1</v>
      </c>
      <c r="AL31" s="196" t="b">
        <f t="shared" si="15"/>
        <v>1</v>
      </c>
      <c r="AM31" s="154" t="b">
        <v>1</v>
      </c>
      <c r="AN31" s="196" t="b">
        <f t="shared" si="15"/>
        <v>1</v>
      </c>
      <c r="AO31" s="154" t="b">
        <v>1</v>
      </c>
      <c r="AP31" s="196" t="b">
        <f t="shared" si="15"/>
        <v>1</v>
      </c>
      <c r="AQ31" s="154" t="b">
        <v>1</v>
      </c>
      <c r="AR31" s="196" t="b">
        <f t="shared" si="15"/>
        <v>1</v>
      </c>
      <c r="AS31" s="154" t="b">
        <v>1</v>
      </c>
      <c r="AT31" s="154" t="b">
        <v>1</v>
      </c>
      <c r="AU31" s="196" t="b">
        <f t="shared" si="6"/>
        <v>1</v>
      </c>
      <c r="AV31" s="196" t="b">
        <f t="shared" si="7"/>
        <v>1</v>
      </c>
      <c r="AW31" s="196" t="b">
        <f t="shared" si="8"/>
        <v>1</v>
      </c>
      <c r="AX31" s="47" t="b">
        <v>1</v>
      </c>
      <c r="AY31" s="47" t="b">
        <v>1</v>
      </c>
      <c r="AZ31" s="47" t="b">
        <v>1</v>
      </c>
      <c r="BF31" s="154" t="str">
        <f t="shared" si="9"/>
        <v>2.3.2</v>
      </c>
      <c r="BG31" s="196" t="b" cm="1">
        <f t="array" ref="BG31">IFERROR(IF(OR(LOWER(TRIM(S$20))=LOWER(TRIM(data2!$U$35)),LOWER(TRIM(S$20))=LOWER(TRIM(data2!$U$36))),FALSE,AND(S$12,IF(AND($G31,$D31="COI"),
IF(AND(teacher_type="R",career_stage="P"),VLOOKUP($BF31,RPI[],COLUMN(RPI[cot1]),FALSE),
IF(AND(teacher_type="R",career_stage="HP"),VLOOKUP($BF31,RHPI[],COLUMN(RHPI[cot1]),FALSE),
IF(AND(teacher_type="TB",career_stage="P"),VLOOKUP($BF31,TBPI[],COLUMN(TBPI[cot1]),FALSE),
IF(AND(teacher_type="TB",career_stage="HP"),VLOOKUP($BF31,TBHPI[],COLUMN(TBHPI[cot1]),FALSE),FALSE)))),
FALSE))),FALSE)</f>
        <v>0</v>
      </c>
      <c r="BH31" s="154" t="b">
        <v>0</v>
      </c>
      <c r="BI31" s="196" t="b" cm="1">
        <f t="array" ref="BI31">IFERROR(IF(OR(LOWER(TRIM(U$20))=LOWER(TRIM(data2!$U$35)),LOWER(TRIM(U$20))=LOWER(TRIM(data2!$U$36))),FALSE,AND(U$12,IF(AND($G31,$D31="COI"),
IF(AND(teacher_type="R",career_stage="P"),VLOOKUP($BF31,RPI[],COLUMN(RPI[cot2]),FALSE),
IF(AND(teacher_type="R",career_stage="HP"),VLOOKUP($BF31,RHPI[],COLUMN(RHPI[cot2]),FALSE),
IF(AND(teacher_type="TB",career_stage="P"),VLOOKUP($BF31,TBPI[],COLUMN(TBPI[cot2]),FALSE),
IF(AND(teacher_type="TB",career_stage="HP"),VLOOKUP($BF31,TBHPI[],COLUMN(TBHPI[cot2]),FALSE),FALSE)))),
FALSE))),FALSE)</f>
        <v>0</v>
      </c>
      <c r="BJ31" s="154" t="b">
        <v>0</v>
      </c>
      <c r="BK31" s="196" t="b" cm="1">
        <f t="array" ref="BK31">IFERROR(IF(OR(LOWER(TRIM(W$20))=LOWER(TRIM(data2!$U$35)),LOWER(TRIM(W$20))=LOWER(TRIM(data2!$U$36))),FALSE,AND(W$12,IF(AND($G31,$D31="COI"),
IF(AND(teacher_type="R",career_stage="P"),VLOOKUP($BF31,RPI[],COLUMN(RPI[cot3]),FALSE),
IF(AND(teacher_type="R",career_stage="HP"),VLOOKUP($BF31,RHPI[],COLUMN(RHPI[cot3]),FALSE),
IF(AND(teacher_type="TB",career_stage="P"),VLOOKUP($BF31,TBPI[],COLUMN(TBPI[cot3]),FALSE),
IF(AND(teacher_type="TB",career_stage="HP"),VLOOKUP($BF31,TBHPI[],COLUMN(TBHPI[cot3]),FALSE),FALSE)))),
FALSE))),FALSE)</f>
        <v>0</v>
      </c>
      <c r="BL31" s="154" t="b">
        <v>0</v>
      </c>
      <c r="BM31" s="196" t="b" cm="1">
        <f t="array" ref="BM31">IFERROR(IF(OR(LOWER(TRIM(Y$20))=LOWER(TRIM(data2!$U$35)),LOWER(TRIM(Y$20))=LOWER(TRIM(data2!$U$36))),FALSE,AND(Y$12,IF(AND($G31,$D31="COI"),
IF(AND(teacher_type="R",career_stage="P"),VLOOKUP($BF31,RPI[],COLUMN(RPI[cot4]),FALSE),
IF(AND(teacher_type="R",career_stage="HP"),VLOOKUP($BF31,RHPI[],COLUMN(RHPI[cot4]),FALSE),
IF(AND(teacher_type="TB",career_stage="P"),VLOOKUP($BF31,TBPI[],COLUMN(TBPI[cot4]),FALSE),
IF(AND(teacher_type="TB",career_stage="HP"),VLOOKUP($BF31,TBHPI[],COLUMN(TBHPI[cot4]),FALSE),FALSE)))),
FALSE))),FALSE)</f>
        <v>0</v>
      </c>
      <c r="BN31" s="154" t="b">
        <v>0</v>
      </c>
      <c r="BO31" s="150">
        <f t="shared" si="16"/>
        <v>0</v>
      </c>
      <c r="BP31" s="196" t="b">
        <f t="shared" si="17"/>
        <v>0</v>
      </c>
      <c r="BQ31" s="196" t="b">
        <f>IFERROR(IF(OR(NOT(CZ31),LOWER(TRIM(S$20))=LOWER(TRIM(data2!$U$35))),TRUE,IF(AND(CZ31,LOWER(TRIM(S$20))=LOWER(TRIM(data2!$U$36))),FALSE)),FALSE)</f>
        <v>1</v>
      </c>
      <c r="BR31" s="196" t="b">
        <f t="shared" si="18"/>
        <v>0</v>
      </c>
      <c r="BS31" s="196" t="b">
        <f>IFERROR(IF(OR(NOT(DB31),LOWER(TRIM(U$20))=LOWER(TRIM(data2!$U$35))),TRUE,IF(AND(DB31,LOWER(TRIM(U$20))=LOWER(TRIM(data2!$U$36))),FALSE)),FALSE)</f>
        <v>1</v>
      </c>
      <c r="BT31" s="196" t="b">
        <f t="shared" si="19"/>
        <v>0</v>
      </c>
      <c r="BU31" s="196" t="b">
        <f>IFERROR(IF(OR(NOT(DD31),LOWER(TRIM(W$20))=LOWER(TRIM(data2!$U$35))),TRUE,IF(AND(DD31,LOWER(TRIM(W$20))=LOWER(TRIM(data2!$U$36))),FALSE)),FALSE)</f>
        <v>1</v>
      </c>
      <c r="BV31" s="196" t="b">
        <f t="shared" si="20"/>
        <v>0</v>
      </c>
      <c r="BW31" s="196" t="b">
        <f>IFERROR(IF(OR(NOT(DF31),LOWER(TRIM(Y$20))=LOWER(TRIM(data2!$U$35))),TRUE,IF(AND(DF31,LOWER(TRIM(Y$20))=LOWER(TRIM(data2!$U$36))),FALSE)),FALSE)</f>
        <v>1</v>
      </c>
      <c r="BY31" s="154" t="str">
        <f t="shared" si="21"/>
        <v/>
      </c>
      <c r="BZ31" s="154" t="str">
        <f t="shared" si="22"/>
        <v/>
      </c>
      <c r="CA31" s="154" t="str">
        <f t="shared" si="23"/>
        <v/>
      </c>
      <c r="CB31" s="154" t="str">
        <f t="shared" si="24"/>
        <v>CE31:CI31</v>
      </c>
      <c r="CC31" s="154" t="str">
        <f t="shared" si="25"/>
        <v>CK31:CO31</v>
      </c>
      <c r="CD31" s="154" t="str">
        <f t="shared" si="26"/>
        <v>CQ31:CU31</v>
      </c>
      <c r="CE31" s="359" cm="1">
        <f t="array" ref="CE31">IFERROR(IF($BY31&lt;&gt;"",
IF(AND(teacher_type="R",career_stage="P"),
    IF(INDEX(RPS[[Outstanding]:[Poor]],MATCH($BY31,RPS[[helper]:[helper]],0),CE$19)&lt;&gt;"",CE$20,""),
IF(AND(teacher_type="R",career_stage="HP"),
    IF(INDEX(RHPS[[Outstanding]:[Poor]],MATCH($BY31,RHPS[[helper]:[helper]],0),CE$19)&lt;&gt;"",CE$20,""),
IF(AND(teacher_type="TB",career_stage="P"),
    IF(INDEX(TBPS[[Outstanding]:[Poor]],MATCH($BY31,TBPS[[helper]:[helper]],0),CE$19)&lt;&gt;"",CE$20,""),
IF(AND(teacher_type="TB",career_stage="HP"),
    IF(INDEX(TBHPS[[Outstanding]:[Poor]],MATCH($BY31,TBHPS[[helper]:[helper]],0),CE$19)&lt;&gt;"",CE$20,""),
CE$20)))),
CE$20),CE$20)</f>
        <v>5</v>
      </c>
      <c r="CF31" s="359" cm="1">
        <f t="array" ref="CF31">IFERROR(IF($BY31&lt;&gt;"",
IF(AND(teacher_type="R",career_stage="P"),
    IF(INDEX(RPS[[Outstanding]:[Poor]],MATCH($BY31,RPS[[helper]:[helper]],0),CF$19)&lt;&gt;"",CF$20,""),
IF(AND(teacher_type="R",career_stage="HP"),
    IF(INDEX(RHPS[[Outstanding]:[Poor]],MATCH($BY31,RHPS[[helper]:[helper]],0),CF$19)&lt;&gt;"",CF$20,""),
IF(AND(teacher_type="TB",career_stage="P"),
    IF(INDEX(TBPS[[Outstanding]:[Poor]],MATCH($BY31,TBPS[[helper]:[helper]],0),CF$19)&lt;&gt;"",CF$20,""),
IF(AND(teacher_type="TB",career_stage="HP"),
    IF(INDEX(TBHPS[[Outstanding]:[Poor]],MATCH($BY31,TBHPS[[helper]:[helper]],0),CF$19)&lt;&gt;"",CF$20,""),
CF$20)))),
CF$20),CF$20)</f>
        <v>4</v>
      </c>
      <c r="CG31" s="359" cm="1">
        <f t="array" ref="CG31">IFERROR(IF($BY31&lt;&gt;"",
IF(AND(teacher_type="R",career_stage="P"),
    IF(INDEX(RPS[[Outstanding]:[Poor]],MATCH($BY31,RPS[[helper]:[helper]],0),CG$19)&lt;&gt;"",CG$20,""),
IF(AND(teacher_type="R",career_stage="HP"),
    IF(INDEX(RHPS[[Outstanding]:[Poor]],MATCH($BY31,RHPS[[helper]:[helper]],0),CG$19)&lt;&gt;"",CG$20,""),
IF(AND(teacher_type="TB",career_stage="P"),
    IF(INDEX(TBPS[[Outstanding]:[Poor]],MATCH($BY31,TBPS[[helper]:[helper]],0),CG$19)&lt;&gt;"",CG$20,""),
IF(AND(teacher_type="TB",career_stage="HP"),
    IF(INDEX(TBHPS[[Outstanding]:[Poor]],MATCH($BY31,TBHPS[[helper]:[helper]],0),CG$19)&lt;&gt;"",CG$20,""),
CG$20)))),
CG$20),CG$20)</f>
        <v>3</v>
      </c>
      <c r="CH31" s="359" cm="1">
        <f t="array" ref="CH31">IFERROR(IF($BY31&lt;&gt;"",
IF(AND(teacher_type="R",career_stage="P"),
    IF(INDEX(RPS[[Outstanding]:[Poor]],MATCH($BY31,RPS[[helper]:[helper]],0),CH$19)&lt;&gt;"",CH$20,""),
IF(AND(teacher_type="R",career_stage="HP"),
    IF(INDEX(RHPS[[Outstanding]:[Poor]],MATCH($BY31,RHPS[[helper]:[helper]],0),CH$19)&lt;&gt;"",CH$20,""),
IF(AND(teacher_type="TB",career_stage="P"),
    IF(INDEX(TBPS[[Outstanding]:[Poor]],MATCH($BY31,TBPS[[helper]:[helper]],0),CH$19)&lt;&gt;"",CH$20,""),
IF(AND(teacher_type="TB",career_stage="HP"),
    IF(INDEX(TBHPS[[Outstanding]:[Poor]],MATCH($BY31,TBHPS[[helper]:[helper]],0),CH$19)&lt;&gt;"",CH$20,""),
CH$20)))),
CH$20),CH$20)</f>
        <v>2</v>
      </c>
      <c r="CI31" s="359" cm="1">
        <f t="array" ref="CI31">IFERROR(IF($BY31&lt;&gt;"",
IF(AND(teacher_type="R",career_stage="P"),
    IF(INDEX(RPS[[Outstanding]:[Poor]],MATCH($BY31,RPS[[helper]:[helper]],0),CI$19)&lt;&gt;"",CI$20,""),
IF(AND(teacher_type="R",career_stage="HP"),
    IF(INDEX(RHPS[[Outstanding]:[Poor]],MATCH($BY31,RHPS[[helper]:[helper]],0),CI$19)&lt;&gt;"",CI$20,""),
IF(AND(teacher_type="TB",career_stage="P"),
    IF(INDEX(TBPS[[Outstanding]:[Poor]],MATCH($BY31,TBPS[[helper]:[helper]],0),CI$19)&lt;&gt;"",CI$20,""),
IF(AND(teacher_type="TB",career_stage="HP"),
    IF(INDEX(TBHPS[[Outstanding]:[Poor]],MATCH($BY31,TBHPS[[helper]:[helper]],0),CI$19)&lt;&gt;"",CI$20,""),
CI$20)))),
CI$20),CI$20)</f>
        <v>1</v>
      </c>
      <c r="CJ31" s="360">
        <f t="shared" si="27"/>
        <v>5</v>
      </c>
      <c r="CK31" s="359" cm="1">
        <f t="array" ref="CK31">IFERROR(IF($BZ31&lt;&gt;"",
IF(AND(teacher_type="R",career_stage="P"),
    IF(INDEX(RPS[[Outstanding]:[Poor]],MATCH($BZ31,RPS[[helper]:[helper]],0),CK$19)&lt;&gt;"",CK$20,""),
IF(AND(teacher_type="R",career_stage="HP"),
    IF(INDEX(RHPS[[Outstanding]:[Poor]],MATCH($BZ31,RHPS[[helper]:[helper]],0),CK$19)&lt;&gt;"",CK$20,""),
IF(AND(teacher_type="TB",career_stage="P"),
    IF(INDEX(TBPS[[Outstanding]:[Poor]],MATCH($BZ31,TBPS[[helper]:[helper]],0),CK$19)&lt;&gt;"",CK$20,""),
IF(AND(teacher_type="TB",career_stage="HP"),
    IF(INDEX(TBHPS[[Outstanding]:[Poor]],MATCH($BZ31,TBHPS[[helper]:[helper]],0),CK$19)&lt;&gt;"",CK$20,""),
CK$20)))),
CK$20),CK$20)</f>
        <v>5</v>
      </c>
      <c r="CL31" s="359" cm="1">
        <f t="array" ref="CL31">IFERROR(IF($BZ31&lt;&gt;"",
IF(AND(teacher_type="R",career_stage="P"),
    IF(INDEX(RPS[[Outstanding]:[Poor]],MATCH($BZ31,RPS[[helper]:[helper]],0),CL$19)&lt;&gt;"",CL$20,""),
IF(AND(teacher_type="R",career_stage="HP"),
    IF(INDEX(RHPS[[Outstanding]:[Poor]],MATCH($BZ31,RHPS[[helper]:[helper]],0),CL$19)&lt;&gt;"",CL$20,""),
IF(AND(teacher_type="TB",career_stage="P"),
    IF(INDEX(TBPS[[Outstanding]:[Poor]],MATCH($BZ31,TBPS[[helper]:[helper]],0),CL$19)&lt;&gt;"",CL$20,""),
IF(AND(teacher_type="TB",career_stage="HP"),
    IF(INDEX(TBHPS[[Outstanding]:[Poor]],MATCH($BZ31,TBHPS[[helper]:[helper]],0),CL$19)&lt;&gt;"",CL$20,""),
CL$20)))),
CL$20),CL$20)</f>
        <v>4</v>
      </c>
      <c r="CM31" s="359" cm="1">
        <f t="array" ref="CM31">IFERROR(IF($BZ31&lt;&gt;"",
IF(AND(teacher_type="R",career_stage="P"),
    IF(INDEX(RPS[[Outstanding]:[Poor]],MATCH($BZ31,RPS[[helper]:[helper]],0),CM$19)&lt;&gt;"",CM$20,""),
IF(AND(teacher_type="R",career_stage="HP"),
    IF(INDEX(RHPS[[Outstanding]:[Poor]],MATCH($BZ31,RHPS[[helper]:[helper]],0),CM$19)&lt;&gt;"",CM$20,""),
IF(AND(teacher_type="TB",career_stage="P"),
    IF(INDEX(TBPS[[Outstanding]:[Poor]],MATCH($BZ31,TBPS[[helper]:[helper]],0),CM$19)&lt;&gt;"",CM$20,""),
IF(AND(teacher_type="TB",career_stage="HP"),
    IF(INDEX(TBHPS[[Outstanding]:[Poor]],MATCH($BZ31,TBHPS[[helper]:[helper]],0),CM$19)&lt;&gt;"",CM$20,""),
CM$20)))),
CM$20),CM$20)</f>
        <v>3</v>
      </c>
      <c r="CN31" s="359" cm="1">
        <f t="array" ref="CN31">IFERROR(IF($BZ31&lt;&gt;"",
IF(AND(teacher_type="R",career_stage="P"),
    IF(INDEX(RPS[[Outstanding]:[Poor]],MATCH($BZ31,RPS[[helper]:[helper]],0),CN$19)&lt;&gt;"",CN$20,""),
IF(AND(teacher_type="R",career_stage="HP"),
    IF(INDEX(RHPS[[Outstanding]:[Poor]],MATCH($BZ31,RHPS[[helper]:[helper]],0),CN$19)&lt;&gt;"",CN$20,""),
IF(AND(teacher_type="TB",career_stage="P"),
    IF(INDEX(TBPS[[Outstanding]:[Poor]],MATCH($BZ31,TBPS[[helper]:[helper]],0),CN$19)&lt;&gt;"",CN$20,""),
IF(AND(teacher_type="TB",career_stage="HP"),
    IF(INDEX(TBHPS[[Outstanding]:[Poor]],MATCH($BZ31,TBHPS[[helper]:[helper]],0),CN$19)&lt;&gt;"",CN$20,""),
CN$20)))),
CN$20),CN$20)</f>
        <v>2</v>
      </c>
      <c r="CO31" s="359" cm="1">
        <f t="array" ref="CO31">IFERROR(IF($BZ31&lt;&gt;"",
IF(AND(teacher_type="R",career_stage="P"),
    IF(INDEX(RPS[[Outstanding]:[Poor]],MATCH($BZ31,RPS[[helper]:[helper]],0),CO$19)&lt;&gt;"",CO$20,""),
IF(AND(teacher_type="R",career_stage="HP"),
    IF(INDEX(RHPS[[Outstanding]:[Poor]],MATCH($BZ31,RHPS[[helper]:[helper]],0),CO$19)&lt;&gt;"",CO$20,""),
IF(AND(teacher_type="TB",career_stage="P"),
    IF(INDEX(TBPS[[Outstanding]:[Poor]],MATCH($BZ31,TBPS[[helper]:[helper]],0),CO$19)&lt;&gt;"",CO$20,""),
IF(AND(teacher_type="TB",career_stage="HP"),
    IF(INDEX(TBHPS[[Outstanding]:[Poor]],MATCH($BZ31,TBHPS[[helper]:[helper]],0),CO$19)&lt;&gt;"",CO$20,""),
CO$20)))),
CO$20),CO$20)</f>
        <v>1</v>
      </c>
      <c r="CP31" s="360">
        <f t="shared" si="28"/>
        <v>5</v>
      </c>
      <c r="CQ31" s="359" cm="1">
        <f t="array" ref="CQ31">IFERROR(IF($CA31&lt;&gt;"",
IF(AND(teacher_type="R",career_stage="P"),
    IF(INDEX(RPS[[Outstanding]:[Poor]],MATCH($CA31,RPS[[helper]:[helper]],0),CQ$19)&lt;&gt;"",CQ$20,""),
IF(AND(teacher_type="R",career_stage="HP"),
    IF(INDEX(RHPS[[Outstanding]:[Poor]],MATCH($CA31,RHPS[[helper]:[helper]],0),CQ$19)&lt;&gt;"",CQ$20,""),
IF(AND(teacher_type="TB",career_stage="P"),
    IF(INDEX(TBPS[[Outstanding]:[Poor]],MATCH($CA31,TBPS[[helper]:[helper]],0),CQ$19)&lt;&gt;"",CQ$20,""),
IF(AND(teacher_type="TB",career_stage="HP"),
    IF(INDEX(TBHPS[[Outstanding]:[Poor]],MATCH($CA31,TBHPS[[helper]:[helper]],0),CQ$19)&lt;&gt;"",CQ$20,""),
CQ$20)))),
CQ$20),CQ$20)</f>
        <v>5</v>
      </c>
      <c r="CR31" s="359" cm="1">
        <f t="array" ref="CR31">IFERROR(IF($CA31&lt;&gt;"",
IF(AND(teacher_type="R",career_stage="P"),
    IF(INDEX(RPS[[Outstanding]:[Poor]],MATCH($CA31,RPS[[helper]:[helper]],0),CR$19)&lt;&gt;"",CR$20,""),
IF(AND(teacher_type="R",career_stage="HP"),
    IF(INDEX(RHPS[[Outstanding]:[Poor]],MATCH($CA31,RHPS[[helper]:[helper]],0),CR$19)&lt;&gt;"",CR$20,""),
IF(AND(teacher_type="TB",career_stage="P"),
    IF(INDEX(TBPS[[Outstanding]:[Poor]],MATCH($CA31,TBPS[[helper]:[helper]],0),CR$19)&lt;&gt;"",CR$20,""),
IF(AND(teacher_type="TB",career_stage="HP"),
    IF(INDEX(TBHPS[[Outstanding]:[Poor]],MATCH($CA31,TBHPS[[helper]:[helper]],0),CR$19)&lt;&gt;"",CR$20,""),
CR$20)))),
CR$20),CR$20)</f>
        <v>4</v>
      </c>
      <c r="CS31" s="359" cm="1">
        <f t="array" ref="CS31">IFERROR(IF($CA31&lt;&gt;"",
IF(AND(teacher_type="R",career_stage="P"),
    IF(INDEX(RPS[[Outstanding]:[Poor]],MATCH($CA31,RPS[[helper]:[helper]],0),CS$19)&lt;&gt;"",CS$20,""),
IF(AND(teacher_type="R",career_stage="HP"),
    IF(INDEX(RHPS[[Outstanding]:[Poor]],MATCH($CA31,RHPS[[helper]:[helper]],0),CS$19)&lt;&gt;"",CS$20,""),
IF(AND(teacher_type="TB",career_stage="P"),
    IF(INDEX(TBPS[[Outstanding]:[Poor]],MATCH($CA31,TBPS[[helper]:[helper]],0),CS$19)&lt;&gt;"",CS$20,""),
IF(AND(teacher_type="TB",career_stage="HP"),
    IF(INDEX(TBHPS[[Outstanding]:[Poor]],MATCH($CA31,TBHPS[[helper]:[helper]],0),CS$19)&lt;&gt;"",CS$20,""),
CS$20)))),
CS$20),CS$20)</f>
        <v>3</v>
      </c>
      <c r="CT31" s="359" cm="1">
        <f t="array" ref="CT31">IFERROR(IF($CA31&lt;&gt;"",
IF(AND(teacher_type="R",career_stage="P"),
    IF(INDEX(RPS[[Outstanding]:[Poor]],MATCH($CA31,RPS[[helper]:[helper]],0),CT$19)&lt;&gt;"",CT$20,""),
IF(AND(teacher_type="R",career_stage="HP"),
    IF(INDEX(RHPS[[Outstanding]:[Poor]],MATCH($CA31,RHPS[[helper]:[helper]],0),CT$19)&lt;&gt;"",CT$20,""),
IF(AND(teacher_type="TB",career_stage="P"),
    IF(INDEX(TBPS[[Outstanding]:[Poor]],MATCH($CA31,TBPS[[helper]:[helper]],0),CT$19)&lt;&gt;"",CT$20,""),
IF(AND(teacher_type="TB",career_stage="HP"),
    IF(INDEX(TBHPS[[Outstanding]:[Poor]],MATCH($CA31,TBHPS[[helper]:[helper]],0),CT$19)&lt;&gt;"",CT$20,""),
CT$20)))),
CT$20),CT$20)</f>
        <v>2</v>
      </c>
      <c r="CU31" s="359" cm="1">
        <f t="array" ref="CU31">IFERROR(IF($CA31&lt;&gt;"",
IF(AND(teacher_type="R",career_stage="P"),
    IF(INDEX(RPS[[Outstanding]:[Poor]],MATCH($CA31,RPS[[helper]:[helper]],0),CU$19)&lt;&gt;"",CU$20,""),
IF(AND(teacher_type="R",career_stage="HP"),
    IF(INDEX(RHPS[[Outstanding]:[Poor]],MATCH($CA31,RHPS[[helper]:[helper]],0),CU$19)&lt;&gt;"",CU$20,""),
IF(AND(teacher_type="TB",career_stage="P"),
    IF(INDEX(TBPS[[Outstanding]:[Poor]],MATCH($CA31,TBPS[[helper]:[helper]],0),CU$19)&lt;&gt;"",CU$20,""),
IF(AND(teacher_type="TB",career_stage="HP"),
    IF(INDEX(TBHPS[[Outstanding]:[Poor]],MATCH($CA31,TBHPS[[helper]:[helper]],0),CU$19)&lt;&gt;"",CU$20,""),
CU$20)))),
CU$20),CU$20)</f>
        <v>1</v>
      </c>
      <c r="CV31" s="360">
        <f t="shared" si="29"/>
        <v>5</v>
      </c>
      <c r="CY31" s="443" t="b" cm="1">
        <f t="array" ref="CY31">IFERROR(AND(S$12,IF(AND($G31,$D31="COI"),
IF(AND(teacher_type="R",career_stage="P"),VLOOKUP($BF31,RPI[],COLUMN(RPI[cot1]),FALSE),
IF(AND(teacher_type="R",career_stage="HP"),VLOOKUP($BF31,RHPI[],COLUMN(RHPI[cot1]),FALSE),
IF(AND(teacher_type="TB",career_stage="P"),VLOOKUP($BF31,TBPI[],COLUMN(TBPI[cot1]),FALSE),
IF(AND(teacher_type="TB",career_stage="HP"),VLOOKUP($BF31,TBHPI[],COLUMN(TBHPI[cot1]),FALSE),FALSE)))),
FALSE)),FALSE)</f>
        <v>0</v>
      </c>
      <c r="CZ31" s="443" t="b">
        <f t="shared" si="30"/>
        <v>0</v>
      </c>
      <c r="DA31" s="443" t="b" cm="1">
        <f t="array" ref="DA31">IFERROR(AND(U$12,IF(AND($G31,$D31="COI"),
IF(AND(teacher_type="R",career_stage="P"),VLOOKUP($BF31,RPI[],COLUMN(RPI[cot2]),FALSE),
IF(AND(teacher_type="R",career_stage="HP"),VLOOKUP($BF31,RHPI[],COLUMN(RHPI[cot2]),FALSE),
IF(AND(teacher_type="TB",career_stage="P"),VLOOKUP($BF31,TBPI[],COLUMN(TBPI[cot2]),FALSE),
IF(AND(teacher_type="TB",career_stage="HP"),VLOOKUP($BF31,TBHPI[],COLUMN(TBHPI[cot2]),FALSE),FALSE)))),
FALSE)),FALSE)</f>
        <v>0</v>
      </c>
      <c r="DB31" s="443" t="b">
        <f t="shared" si="31"/>
        <v>0</v>
      </c>
      <c r="DC31" s="443" t="b" cm="1">
        <f t="array" ref="DC31">IFERROR(AND(W$12,IF(AND($G31,$D31="COI"),
IF(AND(teacher_type="R",career_stage="P"),VLOOKUP($BF31,RPI[],COLUMN(RPI[cot3]),FALSE),
IF(AND(teacher_type="R",career_stage="HP"),VLOOKUP($BF31,RHPI[],COLUMN(RHPI[cot3]),FALSE),
IF(AND(teacher_type="TB",career_stage="P"),VLOOKUP($BF31,TBPI[],COLUMN(TBPI[cot3]),FALSE),
IF(AND(teacher_type="TB",career_stage="HP"),VLOOKUP($BF31,TBHPI[],COLUMN(TBHPI[cot3]),FALSE),FALSE)))),
FALSE)),FALSE)</f>
        <v>0</v>
      </c>
      <c r="DD31" s="443" t="b">
        <f t="shared" si="32"/>
        <v>0</v>
      </c>
      <c r="DE31" s="443" t="b" cm="1">
        <f t="array" ref="DE31">IFERROR(AND(Y$12,IF(AND($G31,$D31="COI"),
IF(AND(teacher_type="R",career_stage="P"),VLOOKUP($BF31,RPI[],COLUMN(RPI[cot4]),FALSE),
IF(AND(teacher_type="R",career_stage="HP"),VLOOKUP($BF31,RHPI[],COLUMN(RHPI[cot4]),FALSE),
IF(AND(teacher_type="TB",career_stage="P"),VLOOKUP($BF31,TBPI[],COLUMN(TBPI[cot4]),FALSE),
IF(AND(teacher_type="TB",career_stage="HP"),VLOOKUP($BF31,TBHPI[],COLUMN(TBHPI[cot4]),FALSE),FALSE)))),
FALSE)),FALSE)</f>
        <v>0</v>
      </c>
      <c r="DF31" s="443" t="b">
        <f t="shared" si="33"/>
        <v>0</v>
      </c>
      <c r="DG31" s="150">
        <f t="shared" si="34"/>
        <v>0</v>
      </c>
      <c r="DH31" s="154">
        <f>IF(AND(CY31,LOWER(TRIM(S$20))=LOWER(TRIM(data2!$U$35))),1,0) +
IF(AND(DA31,LOWER(TRIM(U$20))=LOWER(TRIM(data2!$U$35))),1,0) +
IF(AND(DC31,LOWER(TRIM(W$20))=LOWER(TRIM(data2!$U$35))),1,0) +
IF(AND(DE31,LOWER(TRIM(Y$20))=LOWER(TRIM(data2!$U$35))),1,0)</f>
        <v>0</v>
      </c>
      <c r="DJ31" s="154">
        <f t="shared" si="35"/>
        <v>0</v>
      </c>
    </row>
    <row r="32" spans="1:116" s="154" customFormat="1" ht="24.95" hidden="1" customHeight="1" x14ac:dyDescent="0.25">
      <c r="A32" s="156"/>
      <c r="B32" s="154">
        <v>11</v>
      </c>
      <c r="C32" s="150" t="str">
        <f>IFERROR(IF(AND(teacher_type="R",career_stage="P"),VLOOKUP(O32,RPI[],COLUMNS(RPI[[Strand]:[admin_selected_coi_ncoi]]),FALSE),IF(AND(teacher_type="R",career_stage="HP"),VLOOKUP(O32,RHPI[],COLUMNS(RHPI[[Strand]:[admin_selected_coi_ncoi]]),FALSE),IF(AND(teacher_type="TB",career_stage="P"),VLOOKUP(O32,TBPI[],COLUMNS(TBPI[[Strand]:[admin_selected_coi_ncoi]]),FALSE),IF(AND(teacher_type="TB",career_stage="HP"),VLOOKUP(O32,TBHPI[],COLUMNS(TBHPI[[Strand]:[admin_selected_coi_ncoi]]),FALSE),"NCOI")))),"NCOI")</f>
        <v>COI/NCOI</v>
      </c>
      <c r="D32" s="150" t="str">
        <f t="shared" si="10"/>
        <v/>
      </c>
      <c r="E32" s="150">
        <f>IFERROR(IF(AND(teacher_type="R",career_stage="P"),VLOOKUP($O32,RPI[[Strand]:[Domain]],COLUMNS(RPI[[Strand]:[Domain]]),FALSE),IF(AND(teacher_type="R",career_stage="HP"),VLOOKUP($O32,RHPI[[Strand]:[Domain]],COLUMNS(RHPI[[Strand]:[Domain]]),FALSE),IF(AND(teacher_type="TB",career_stage="P"),VLOOKUP($O32,TBPI[[Strand]:[Domain]],COLUMNS(TBPI[[Strand]:[Domain]]),FALSE),IF(AND(teacher_type="TB",career_stage="HP"),VLOOKUP($O32,TBHPI[[Strand]:[Domain]],COLUMNS(TBHPI[[Strand]:[Domain]]),FALSE),"")))),"")</f>
        <v>2</v>
      </c>
      <c r="F32" s="155" t="b">
        <f>AND(COUNTIFS($E$22:$E32,E32,$G$22:$G32,TRUE)=1,$G32)</f>
        <v>0</v>
      </c>
      <c r="G32" s="212" t="b">
        <f>IFERROR(IF(AND(teacher_type="R",career_stage="P"),VLOOKUP($O32,RPI[],COLUMNS(RPI[[Strand]:[Selected]]),FALSE),IF(AND(teacher_type="R",career_stage="HP"),VLOOKUP($O32,RHPI[],COLUMNS(RHPI[[Strand]:[Selected]]),FALSE),IF(AND(teacher_type="TB",career_stage="P"),VLOOKUP($O32,TBPI[],COLUMNS(TBPI[[Strand]:[Selected]]),FALSE),IF(AND(teacher_type="TB",career_stage="HP"),VLOOKUP($O32,TBHPI[],COLUMNS(TBHPI[[Strand]:[Selected]]),FALSE),FALSE)))),FALSE)</f>
        <v>0</v>
      </c>
      <c r="H32" s="156" t="b">
        <f>IFERROR(IF(AND(teacher_type="R",career_stage="P"),AND(COUNTIFS(RPS[Strand],$O32,RPS[QET],H$21)&gt;0,$G32),IF(AND(teacher_type="R",career_stage="HP"),AND(COUNTIFS(RHPS[Strand],$O32,RHPS[QET],H$21)&gt;0,$G32),IF(AND(teacher_type="TB",career_stage="P"),AND(COUNTIFS(TBPS[Strand],$O32,TBPS[QET],H$21)&gt;0,$G32),IF(AND(teacher_type="TB",career_stage="HP"),AND(COUNTIFS(TBHPS[Strand],$O32,TBHPS[QET],H$21)&gt;0,$G32),FALSE)))),FALSE)</f>
        <v>0</v>
      </c>
      <c r="I32" s="156" t="b">
        <f t="shared" si="11"/>
        <v>0</v>
      </c>
      <c r="J32" s="156" t="b">
        <f>IFERROR(IF(AND(teacher_type="R",career_stage="P"),AND(COUNTIFS(RPS[Strand],$O32,RPS[QET],J$21)&gt;0,$G32),IF(AND(teacher_type="R",career_stage="HP"),AND(COUNTIFS(RHPS[Strand],$O32,RHPS[QET],J$21)&gt;0,$G32),IF(AND(teacher_type="TB",career_stage="P"),AND(COUNTIFS(TBPS[Strand],$O32,TBPS[QET],J$21)&gt;0,$G32),IF(AND(teacher_type="TB",career_stage="HP"),AND(COUNTIFS(TBHPS[Strand],$O32,TBHPS[QET],J$21)&gt;0,$G32),FALSE)))),FALSE)</f>
        <v>0</v>
      </c>
      <c r="K32" s="156" t="b">
        <f>IFERROR(IF(AND(teacher_type="R",career_stage="P"),AND(COUNTIFS(RPS[Strand],$O32,RPS[QET],K$21)&gt;0,$G32),IF(AND(teacher_type="R",career_stage="HP"),AND(COUNTIFS(RHPS[Strand],$O32,RHPS[QET],K$21)&gt;0,$G32),IF(AND(teacher_type="TB",career_stage="P"),AND(COUNTIFS(TBPS[Strand],$O32,TBPS[QET],K$21)&gt;0,$G32),IF(AND(teacher_type="TB",career_stage="HP"),AND(COUNTIFS(TBHPS[Strand],$O32,TBHPS[QET],K$21)&gt;0,$G32),FALSE)))),FALSE)</f>
        <v>0</v>
      </c>
      <c r="L32" s="156" t="b">
        <f t="shared" si="12"/>
        <v>0</v>
      </c>
      <c r="M32" s="165" t="str">
        <f t="shared" si="13"/>
        <v/>
      </c>
      <c r="N32" s="48" t="str">
        <f>IF($G32,COUNTIF($G$22:$G32,TRUE),"")</f>
        <v/>
      </c>
      <c r="O32" s="48" t="str" cm="1">
        <f t="array" ref="O32">IFERROR(IF(AND(teacher_type="R",career_stage="P"),INDEX(RPI[Strand],$B32),IF(AND(teacher_type="R",career_stage="HP"),INDEX(RHPI[Strand],$B32),IF(AND(teacher_type="TB",career_stage="P"),INDEX(TBPI[Strand],$B32),IF(AND(teacher_type="TB",career_stage="HP"),INDEX(TBHPI[Strand],$B32),"")))),"")</f>
        <v>2.4.2</v>
      </c>
      <c r="P32" s="458"/>
      <c r="Q32" s="167">
        <f>IFERROR(IF(AND(teacher_type="R",career_stage="P"),VLOOKUP(O32,RPI[],COLUMNS(RPI[[Strand]:[Weight]]),FALSE), IF(AND(teacher_type="R",career_stage="HP"),VLOOKUP(O32,RHPI[],COLUMNS(RHPI[[Strand]:[Weight]]),FALSE), IF(AND(teacher_type="TB",career_stage="P"),VLOOKUP(O32,TBPI[],COLUMNS(TBPI[[Strand]:[Weight]]),FALSE), IF(AND(teacher_type="TB",career_stage="HP"),VLOOKUP(O32,TBHPI[],COLUMNS(TBHPI[[Strand]:[Weight]]),FALSE),0)))),0)</f>
        <v>0</v>
      </c>
      <c r="R32" s="168">
        <f>COUNTIFS($D$22:D32,"COI",$G$22:G32,TRUE)</f>
        <v>6</v>
      </c>
      <c r="S32" s="483"/>
      <c r="T32" s="169" t="str">
        <f>IFERROR(IF(LOWER(TRIM(S$20))=LOWER(TRIM(data2!$U$35)),"",IF(AND($G32,$D32="COI",S$12,CZ32),IF(OR(LOWER(TRIM(S$20))=LOWER(TRIM(data2!$U$36)),ISBLANK(S32)),1,IF(career_stage="P",VLOOKUP(S32,P_COT_vlookup,2,FALSE),IF(career_stage="HP",VLOOKUP(S32,HP_COT_vlookup,2,FALSE),""))),"")),"")</f>
        <v/>
      </c>
      <c r="U32" s="489"/>
      <c r="V32" s="170" t="str">
        <f>IFERROR(IF(LOWER(TRIM(U$20))=LOWER(TRIM(data2!$U$35)),"",IF(AND($G32,$D32="COI",U$12,DB32),IF(OR(LOWER(TRIM(U$20))=LOWER(TRIM(data2!$U$36)),ISBLANK(U32)),1,IF(career_stage="P",VLOOKUP(U32,P_COT_vlookup,2,FALSE),IF(career_stage="HP",VLOOKUP(U32,HP_COT_vlookup,2,FALSE),""))),"")),"")</f>
        <v/>
      </c>
      <c r="W32" s="483"/>
      <c r="X32" s="169" t="str">
        <f>IFERROR(IF(LOWER(TRIM(W$20))=LOWER(TRIM(data2!$U$35)),"",IF(AND($G32,$D32="COI",W$12,DD32),IF(OR(LOWER(TRIM(W$20))=LOWER(TRIM(data2!$U$36)),ISBLANK(W32)),1,IF(career_stage="P",VLOOKUP(W32,P_COT_vlookup,2,FALSE),IF(career_stage="HP",VLOOKUP(W32,HP_COT_vlookup,2,FALSE),""))),"")),"")</f>
        <v/>
      </c>
      <c r="Y32" s="489"/>
      <c r="Z32" s="170" t="str">
        <f>IFERROR(IF(LOWER(TRIM(Y$20))=LOWER(TRIM(data2!$U$35)),"",IF(AND($G32,$D32="COI",Y$12,DF32),IF(OR(LOWER(TRIM(Y$20))=LOWER(TRIM(data2!$U$36)),ISBLANK(Y32)),1,IF(career_stage="P",VLOOKUP(Y32,P_COT_vlookup,2,FALSE),IF(career_stage="HP",VLOOKUP(Y32,HP_COT_vlookup,2,FALSE),""))),"")),"")</f>
        <v/>
      </c>
      <c r="AA32" s="171">
        <f t="shared" si="14"/>
        <v>0</v>
      </c>
      <c r="AB32" s="471"/>
      <c r="AC32" s="473"/>
      <c r="AD32" s="473"/>
      <c r="AE32" s="49">
        <f t="shared" si="2"/>
        <v>0</v>
      </c>
      <c r="AF32" s="49">
        <f t="shared" si="3"/>
        <v>0</v>
      </c>
      <c r="AG32" s="172" t="str">
        <f t="shared" si="4"/>
        <v>Poor</v>
      </c>
      <c r="AI32" s="196" t="b">
        <f t="shared" si="5"/>
        <v>1</v>
      </c>
      <c r="AJ32" s="154" t="b">
        <v>1</v>
      </c>
      <c r="AK32" s="154" t="b">
        <v>1</v>
      </c>
      <c r="AL32" s="196" t="b">
        <f t="shared" si="15"/>
        <v>1</v>
      </c>
      <c r="AM32" s="154" t="b">
        <v>1</v>
      </c>
      <c r="AN32" s="196" t="b">
        <f t="shared" si="15"/>
        <v>1</v>
      </c>
      <c r="AO32" s="154" t="b">
        <v>1</v>
      </c>
      <c r="AP32" s="196" t="b">
        <f t="shared" si="15"/>
        <v>1</v>
      </c>
      <c r="AQ32" s="154" t="b">
        <v>1</v>
      </c>
      <c r="AR32" s="196" t="b">
        <f t="shared" si="15"/>
        <v>1</v>
      </c>
      <c r="AS32" s="154" t="b">
        <v>1</v>
      </c>
      <c r="AT32" s="154" t="b">
        <v>1</v>
      </c>
      <c r="AU32" s="196" t="b">
        <f t="shared" si="6"/>
        <v>1</v>
      </c>
      <c r="AV32" s="196" t="b">
        <f t="shared" si="7"/>
        <v>1</v>
      </c>
      <c r="AW32" s="196" t="b">
        <f t="shared" si="8"/>
        <v>1</v>
      </c>
      <c r="AX32" s="47" t="b">
        <v>1</v>
      </c>
      <c r="AY32" s="47" t="b">
        <v>1</v>
      </c>
      <c r="AZ32" s="47" t="b">
        <v>1</v>
      </c>
      <c r="BF32" s="154" t="str">
        <f t="shared" si="9"/>
        <v>2.4.2</v>
      </c>
      <c r="BG32" s="196" t="b" cm="1">
        <f t="array" ref="BG32">IFERROR(IF(OR(LOWER(TRIM(S$20))=LOWER(TRIM(data2!$U$35)),LOWER(TRIM(S$20))=LOWER(TRIM(data2!$U$36))),FALSE,AND(S$12,IF(AND($G32,$D32="COI"),
IF(AND(teacher_type="R",career_stage="P"),VLOOKUP($BF32,RPI[],COLUMN(RPI[cot1]),FALSE),
IF(AND(teacher_type="R",career_stage="HP"),VLOOKUP($BF32,RHPI[],COLUMN(RHPI[cot1]),FALSE),
IF(AND(teacher_type="TB",career_stage="P"),VLOOKUP($BF32,TBPI[],COLUMN(TBPI[cot1]),FALSE),
IF(AND(teacher_type="TB",career_stage="HP"),VLOOKUP($BF32,TBHPI[],COLUMN(TBHPI[cot1]),FALSE),FALSE)))),
FALSE))),FALSE)</f>
        <v>0</v>
      </c>
      <c r="BH32" s="154" t="b">
        <v>0</v>
      </c>
      <c r="BI32" s="196" t="b" cm="1">
        <f t="array" ref="BI32">IFERROR(IF(OR(LOWER(TRIM(U$20))=LOWER(TRIM(data2!$U$35)),LOWER(TRIM(U$20))=LOWER(TRIM(data2!$U$36))),FALSE,AND(U$12,IF(AND($G32,$D32="COI"),
IF(AND(teacher_type="R",career_stage="P"),VLOOKUP($BF32,RPI[],COLUMN(RPI[cot2]),FALSE),
IF(AND(teacher_type="R",career_stage="HP"),VLOOKUP($BF32,RHPI[],COLUMN(RHPI[cot2]),FALSE),
IF(AND(teacher_type="TB",career_stage="P"),VLOOKUP($BF32,TBPI[],COLUMN(TBPI[cot2]),FALSE),
IF(AND(teacher_type="TB",career_stage="HP"),VLOOKUP($BF32,TBHPI[],COLUMN(TBHPI[cot2]),FALSE),FALSE)))),
FALSE))),FALSE)</f>
        <v>0</v>
      </c>
      <c r="BJ32" s="154" t="b">
        <v>0</v>
      </c>
      <c r="BK32" s="196" t="b" cm="1">
        <f t="array" ref="BK32">IFERROR(IF(OR(LOWER(TRIM(W$20))=LOWER(TRIM(data2!$U$35)),LOWER(TRIM(W$20))=LOWER(TRIM(data2!$U$36))),FALSE,AND(W$12,IF(AND($G32,$D32="COI"),
IF(AND(teacher_type="R",career_stage="P"),VLOOKUP($BF32,RPI[],COLUMN(RPI[cot3]),FALSE),
IF(AND(teacher_type="R",career_stage="HP"),VLOOKUP($BF32,RHPI[],COLUMN(RHPI[cot3]),FALSE),
IF(AND(teacher_type="TB",career_stage="P"),VLOOKUP($BF32,TBPI[],COLUMN(TBPI[cot3]),FALSE),
IF(AND(teacher_type="TB",career_stage="HP"),VLOOKUP($BF32,TBHPI[],COLUMN(TBHPI[cot3]),FALSE),FALSE)))),
FALSE))),FALSE)</f>
        <v>0</v>
      </c>
      <c r="BL32" s="154" t="b">
        <v>0</v>
      </c>
      <c r="BM32" s="196" t="b" cm="1">
        <f t="array" ref="BM32">IFERROR(IF(OR(LOWER(TRIM(Y$20))=LOWER(TRIM(data2!$U$35)),LOWER(TRIM(Y$20))=LOWER(TRIM(data2!$U$36))),FALSE,AND(Y$12,IF(AND($G32,$D32="COI"),
IF(AND(teacher_type="R",career_stage="P"),VLOOKUP($BF32,RPI[],COLUMN(RPI[cot4]),FALSE),
IF(AND(teacher_type="R",career_stage="HP"),VLOOKUP($BF32,RHPI[],COLUMN(RHPI[cot4]),FALSE),
IF(AND(teacher_type="TB",career_stage="P"),VLOOKUP($BF32,TBPI[],COLUMN(TBPI[cot4]),FALSE),
IF(AND(teacher_type="TB",career_stage="HP"),VLOOKUP($BF32,TBHPI[],COLUMN(TBHPI[cot4]),FALSE),FALSE)))),
FALSE))),FALSE)</f>
        <v>0</v>
      </c>
      <c r="BN32" s="154" t="b">
        <v>0</v>
      </c>
      <c r="BO32" s="150">
        <f t="shared" si="16"/>
        <v>0</v>
      </c>
      <c r="BP32" s="196" t="b">
        <f t="shared" si="17"/>
        <v>0</v>
      </c>
      <c r="BQ32" s="196" t="b">
        <f>IFERROR(IF(OR(NOT(CZ32),LOWER(TRIM(S$20))=LOWER(TRIM(data2!$U$35))),TRUE,IF(AND(CZ32,LOWER(TRIM(S$20))=LOWER(TRIM(data2!$U$36))),FALSE)),FALSE)</f>
        <v>1</v>
      </c>
      <c r="BR32" s="196" t="b">
        <f t="shared" si="18"/>
        <v>0</v>
      </c>
      <c r="BS32" s="196" t="b">
        <f>IFERROR(IF(OR(NOT(DB32),LOWER(TRIM(U$20))=LOWER(TRIM(data2!$U$35))),TRUE,IF(AND(DB32,LOWER(TRIM(U$20))=LOWER(TRIM(data2!$U$36))),FALSE)),FALSE)</f>
        <v>1</v>
      </c>
      <c r="BT32" s="196" t="b">
        <f t="shared" si="19"/>
        <v>0</v>
      </c>
      <c r="BU32" s="196" t="b">
        <f>IFERROR(IF(OR(NOT(DD32),LOWER(TRIM(W$20))=LOWER(TRIM(data2!$U$35))),TRUE,IF(AND(DD32,LOWER(TRIM(W$20))=LOWER(TRIM(data2!$U$36))),FALSE)),FALSE)</f>
        <v>1</v>
      </c>
      <c r="BV32" s="196" t="b">
        <f t="shared" si="20"/>
        <v>0</v>
      </c>
      <c r="BW32" s="196" t="b">
        <f>IFERROR(IF(OR(NOT(DF32),LOWER(TRIM(Y$20))=LOWER(TRIM(data2!$U$35))),TRUE,IF(AND(DF32,LOWER(TRIM(Y$20))=LOWER(TRIM(data2!$U$36))),FALSE)),FALSE)</f>
        <v>1</v>
      </c>
      <c r="BY32" s="154" t="str">
        <f t="shared" si="21"/>
        <v/>
      </c>
      <c r="BZ32" s="154" t="str">
        <f t="shared" si="22"/>
        <v/>
      </c>
      <c r="CA32" s="154" t="str">
        <f t="shared" si="23"/>
        <v/>
      </c>
      <c r="CB32" s="154" t="str">
        <f t="shared" si="24"/>
        <v>CE32:CI32</v>
      </c>
      <c r="CC32" s="154" t="str">
        <f t="shared" si="25"/>
        <v>CK32:CO32</v>
      </c>
      <c r="CD32" s="154" t="str">
        <f t="shared" si="26"/>
        <v>CQ32:CU32</v>
      </c>
      <c r="CE32" s="359" cm="1">
        <f t="array" ref="CE32">IFERROR(IF($BY32&lt;&gt;"",
IF(AND(teacher_type="R",career_stage="P"),
    IF(INDEX(RPS[[Outstanding]:[Poor]],MATCH($BY32,RPS[[helper]:[helper]],0),CE$19)&lt;&gt;"",CE$20,""),
IF(AND(teacher_type="R",career_stage="HP"),
    IF(INDEX(RHPS[[Outstanding]:[Poor]],MATCH($BY32,RHPS[[helper]:[helper]],0),CE$19)&lt;&gt;"",CE$20,""),
IF(AND(teacher_type="TB",career_stage="P"),
    IF(INDEX(TBPS[[Outstanding]:[Poor]],MATCH($BY32,TBPS[[helper]:[helper]],0),CE$19)&lt;&gt;"",CE$20,""),
IF(AND(teacher_type="TB",career_stage="HP"),
    IF(INDEX(TBHPS[[Outstanding]:[Poor]],MATCH($BY32,TBHPS[[helper]:[helper]],0),CE$19)&lt;&gt;"",CE$20,""),
CE$20)))),
CE$20),CE$20)</f>
        <v>5</v>
      </c>
      <c r="CF32" s="359" cm="1">
        <f t="array" ref="CF32">IFERROR(IF($BY32&lt;&gt;"",
IF(AND(teacher_type="R",career_stage="P"),
    IF(INDEX(RPS[[Outstanding]:[Poor]],MATCH($BY32,RPS[[helper]:[helper]],0),CF$19)&lt;&gt;"",CF$20,""),
IF(AND(teacher_type="R",career_stage="HP"),
    IF(INDEX(RHPS[[Outstanding]:[Poor]],MATCH($BY32,RHPS[[helper]:[helper]],0),CF$19)&lt;&gt;"",CF$20,""),
IF(AND(teacher_type="TB",career_stage="P"),
    IF(INDEX(TBPS[[Outstanding]:[Poor]],MATCH($BY32,TBPS[[helper]:[helper]],0),CF$19)&lt;&gt;"",CF$20,""),
IF(AND(teacher_type="TB",career_stage="HP"),
    IF(INDEX(TBHPS[[Outstanding]:[Poor]],MATCH($BY32,TBHPS[[helper]:[helper]],0),CF$19)&lt;&gt;"",CF$20,""),
CF$20)))),
CF$20),CF$20)</f>
        <v>4</v>
      </c>
      <c r="CG32" s="359" cm="1">
        <f t="array" ref="CG32">IFERROR(IF($BY32&lt;&gt;"",
IF(AND(teacher_type="R",career_stage="P"),
    IF(INDEX(RPS[[Outstanding]:[Poor]],MATCH($BY32,RPS[[helper]:[helper]],0),CG$19)&lt;&gt;"",CG$20,""),
IF(AND(teacher_type="R",career_stage="HP"),
    IF(INDEX(RHPS[[Outstanding]:[Poor]],MATCH($BY32,RHPS[[helper]:[helper]],0),CG$19)&lt;&gt;"",CG$20,""),
IF(AND(teacher_type="TB",career_stage="P"),
    IF(INDEX(TBPS[[Outstanding]:[Poor]],MATCH($BY32,TBPS[[helper]:[helper]],0),CG$19)&lt;&gt;"",CG$20,""),
IF(AND(teacher_type="TB",career_stage="HP"),
    IF(INDEX(TBHPS[[Outstanding]:[Poor]],MATCH($BY32,TBHPS[[helper]:[helper]],0),CG$19)&lt;&gt;"",CG$20,""),
CG$20)))),
CG$20),CG$20)</f>
        <v>3</v>
      </c>
      <c r="CH32" s="359" cm="1">
        <f t="array" ref="CH32">IFERROR(IF($BY32&lt;&gt;"",
IF(AND(teacher_type="R",career_stage="P"),
    IF(INDEX(RPS[[Outstanding]:[Poor]],MATCH($BY32,RPS[[helper]:[helper]],0),CH$19)&lt;&gt;"",CH$20,""),
IF(AND(teacher_type="R",career_stage="HP"),
    IF(INDEX(RHPS[[Outstanding]:[Poor]],MATCH($BY32,RHPS[[helper]:[helper]],0),CH$19)&lt;&gt;"",CH$20,""),
IF(AND(teacher_type="TB",career_stage="P"),
    IF(INDEX(TBPS[[Outstanding]:[Poor]],MATCH($BY32,TBPS[[helper]:[helper]],0),CH$19)&lt;&gt;"",CH$20,""),
IF(AND(teacher_type="TB",career_stage="HP"),
    IF(INDEX(TBHPS[[Outstanding]:[Poor]],MATCH($BY32,TBHPS[[helper]:[helper]],0),CH$19)&lt;&gt;"",CH$20,""),
CH$20)))),
CH$20),CH$20)</f>
        <v>2</v>
      </c>
      <c r="CI32" s="359" cm="1">
        <f t="array" ref="CI32">IFERROR(IF($BY32&lt;&gt;"",
IF(AND(teacher_type="R",career_stage="P"),
    IF(INDEX(RPS[[Outstanding]:[Poor]],MATCH($BY32,RPS[[helper]:[helper]],0),CI$19)&lt;&gt;"",CI$20,""),
IF(AND(teacher_type="R",career_stage="HP"),
    IF(INDEX(RHPS[[Outstanding]:[Poor]],MATCH($BY32,RHPS[[helper]:[helper]],0),CI$19)&lt;&gt;"",CI$20,""),
IF(AND(teacher_type="TB",career_stage="P"),
    IF(INDEX(TBPS[[Outstanding]:[Poor]],MATCH($BY32,TBPS[[helper]:[helper]],0),CI$19)&lt;&gt;"",CI$20,""),
IF(AND(teacher_type="TB",career_stage="HP"),
    IF(INDEX(TBHPS[[Outstanding]:[Poor]],MATCH($BY32,TBHPS[[helper]:[helper]],0),CI$19)&lt;&gt;"",CI$20,""),
CI$20)))),
CI$20),CI$20)</f>
        <v>1</v>
      </c>
      <c r="CJ32" s="360">
        <f t="shared" si="27"/>
        <v>5</v>
      </c>
      <c r="CK32" s="359" cm="1">
        <f t="array" ref="CK32">IFERROR(IF($BZ32&lt;&gt;"",
IF(AND(teacher_type="R",career_stage="P"),
    IF(INDEX(RPS[[Outstanding]:[Poor]],MATCH($BZ32,RPS[[helper]:[helper]],0),CK$19)&lt;&gt;"",CK$20,""),
IF(AND(teacher_type="R",career_stage="HP"),
    IF(INDEX(RHPS[[Outstanding]:[Poor]],MATCH($BZ32,RHPS[[helper]:[helper]],0),CK$19)&lt;&gt;"",CK$20,""),
IF(AND(teacher_type="TB",career_stage="P"),
    IF(INDEX(TBPS[[Outstanding]:[Poor]],MATCH($BZ32,TBPS[[helper]:[helper]],0),CK$19)&lt;&gt;"",CK$20,""),
IF(AND(teacher_type="TB",career_stage="HP"),
    IF(INDEX(TBHPS[[Outstanding]:[Poor]],MATCH($BZ32,TBHPS[[helper]:[helper]],0),CK$19)&lt;&gt;"",CK$20,""),
CK$20)))),
CK$20),CK$20)</f>
        <v>5</v>
      </c>
      <c r="CL32" s="359" cm="1">
        <f t="array" ref="CL32">IFERROR(IF($BZ32&lt;&gt;"",
IF(AND(teacher_type="R",career_stage="P"),
    IF(INDEX(RPS[[Outstanding]:[Poor]],MATCH($BZ32,RPS[[helper]:[helper]],0),CL$19)&lt;&gt;"",CL$20,""),
IF(AND(teacher_type="R",career_stage="HP"),
    IF(INDEX(RHPS[[Outstanding]:[Poor]],MATCH($BZ32,RHPS[[helper]:[helper]],0),CL$19)&lt;&gt;"",CL$20,""),
IF(AND(teacher_type="TB",career_stage="P"),
    IF(INDEX(TBPS[[Outstanding]:[Poor]],MATCH($BZ32,TBPS[[helper]:[helper]],0),CL$19)&lt;&gt;"",CL$20,""),
IF(AND(teacher_type="TB",career_stage="HP"),
    IF(INDEX(TBHPS[[Outstanding]:[Poor]],MATCH($BZ32,TBHPS[[helper]:[helper]],0),CL$19)&lt;&gt;"",CL$20,""),
CL$20)))),
CL$20),CL$20)</f>
        <v>4</v>
      </c>
      <c r="CM32" s="359" cm="1">
        <f t="array" ref="CM32">IFERROR(IF($BZ32&lt;&gt;"",
IF(AND(teacher_type="R",career_stage="P"),
    IF(INDEX(RPS[[Outstanding]:[Poor]],MATCH($BZ32,RPS[[helper]:[helper]],0),CM$19)&lt;&gt;"",CM$20,""),
IF(AND(teacher_type="R",career_stage="HP"),
    IF(INDEX(RHPS[[Outstanding]:[Poor]],MATCH($BZ32,RHPS[[helper]:[helper]],0),CM$19)&lt;&gt;"",CM$20,""),
IF(AND(teacher_type="TB",career_stage="P"),
    IF(INDEX(TBPS[[Outstanding]:[Poor]],MATCH($BZ32,TBPS[[helper]:[helper]],0),CM$19)&lt;&gt;"",CM$20,""),
IF(AND(teacher_type="TB",career_stage="HP"),
    IF(INDEX(TBHPS[[Outstanding]:[Poor]],MATCH($BZ32,TBHPS[[helper]:[helper]],0),CM$19)&lt;&gt;"",CM$20,""),
CM$20)))),
CM$20),CM$20)</f>
        <v>3</v>
      </c>
      <c r="CN32" s="359" cm="1">
        <f t="array" ref="CN32">IFERROR(IF($BZ32&lt;&gt;"",
IF(AND(teacher_type="R",career_stage="P"),
    IF(INDEX(RPS[[Outstanding]:[Poor]],MATCH($BZ32,RPS[[helper]:[helper]],0),CN$19)&lt;&gt;"",CN$20,""),
IF(AND(teacher_type="R",career_stage="HP"),
    IF(INDEX(RHPS[[Outstanding]:[Poor]],MATCH($BZ32,RHPS[[helper]:[helper]],0),CN$19)&lt;&gt;"",CN$20,""),
IF(AND(teacher_type="TB",career_stage="P"),
    IF(INDEX(TBPS[[Outstanding]:[Poor]],MATCH($BZ32,TBPS[[helper]:[helper]],0),CN$19)&lt;&gt;"",CN$20,""),
IF(AND(teacher_type="TB",career_stage="HP"),
    IF(INDEX(TBHPS[[Outstanding]:[Poor]],MATCH($BZ32,TBHPS[[helper]:[helper]],0),CN$19)&lt;&gt;"",CN$20,""),
CN$20)))),
CN$20),CN$20)</f>
        <v>2</v>
      </c>
      <c r="CO32" s="359" cm="1">
        <f t="array" ref="CO32">IFERROR(IF($BZ32&lt;&gt;"",
IF(AND(teacher_type="R",career_stage="P"),
    IF(INDEX(RPS[[Outstanding]:[Poor]],MATCH($BZ32,RPS[[helper]:[helper]],0),CO$19)&lt;&gt;"",CO$20,""),
IF(AND(teacher_type="R",career_stage="HP"),
    IF(INDEX(RHPS[[Outstanding]:[Poor]],MATCH($BZ32,RHPS[[helper]:[helper]],0),CO$19)&lt;&gt;"",CO$20,""),
IF(AND(teacher_type="TB",career_stage="P"),
    IF(INDEX(TBPS[[Outstanding]:[Poor]],MATCH($BZ32,TBPS[[helper]:[helper]],0),CO$19)&lt;&gt;"",CO$20,""),
IF(AND(teacher_type="TB",career_stage="HP"),
    IF(INDEX(TBHPS[[Outstanding]:[Poor]],MATCH($BZ32,TBHPS[[helper]:[helper]],0),CO$19)&lt;&gt;"",CO$20,""),
CO$20)))),
CO$20),CO$20)</f>
        <v>1</v>
      </c>
      <c r="CP32" s="360">
        <f t="shared" si="28"/>
        <v>5</v>
      </c>
      <c r="CQ32" s="359" cm="1">
        <f t="array" ref="CQ32">IFERROR(IF($CA32&lt;&gt;"",
IF(AND(teacher_type="R",career_stage="P"),
    IF(INDEX(RPS[[Outstanding]:[Poor]],MATCH($CA32,RPS[[helper]:[helper]],0),CQ$19)&lt;&gt;"",CQ$20,""),
IF(AND(teacher_type="R",career_stage="HP"),
    IF(INDEX(RHPS[[Outstanding]:[Poor]],MATCH($CA32,RHPS[[helper]:[helper]],0),CQ$19)&lt;&gt;"",CQ$20,""),
IF(AND(teacher_type="TB",career_stage="P"),
    IF(INDEX(TBPS[[Outstanding]:[Poor]],MATCH($CA32,TBPS[[helper]:[helper]],0),CQ$19)&lt;&gt;"",CQ$20,""),
IF(AND(teacher_type="TB",career_stage="HP"),
    IF(INDEX(TBHPS[[Outstanding]:[Poor]],MATCH($CA32,TBHPS[[helper]:[helper]],0),CQ$19)&lt;&gt;"",CQ$20,""),
CQ$20)))),
CQ$20),CQ$20)</f>
        <v>5</v>
      </c>
      <c r="CR32" s="359" cm="1">
        <f t="array" ref="CR32">IFERROR(IF($CA32&lt;&gt;"",
IF(AND(teacher_type="R",career_stage="P"),
    IF(INDEX(RPS[[Outstanding]:[Poor]],MATCH($CA32,RPS[[helper]:[helper]],0),CR$19)&lt;&gt;"",CR$20,""),
IF(AND(teacher_type="R",career_stage="HP"),
    IF(INDEX(RHPS[[Outstanding]:[Poor]],MATCH($CA32,RHPS[[helper]:[helper]],0),CR$19)&lt;&gt;"",CR$20,""),
IF(AND(teacher_type="TB",career_stage="P"),
    IF(INDEX(TBPS[[Outstanding]:[Poor]],MATCH($CA32,TBPS[[helper]:[helper]],0),CR$19)&lt;&gt;"",CR$20,""),
IF(AND(teacher_type="TB",career_stage="HP"),
    IF(INDEX(TBHPS[[Outstanding]:[Poor]],MATCH($CA32,TBHPS[[helper]:[helper]],0),CR$19)&lt;&gt;"",CR$20,""),
CR$20)))),
CR$20),CR$20)</f>
        <v>4</v>
      </c>
      <c r="CS32" s="359" cm="1">
        <f t="array" ref="CS32">IFERROR(IF($CA32&lt;&gt;"",
IF(AND(teacher_type="R",career_stage="P"),
    IF(INDEX(RPS[[Outstanding]:[Poor]],MATCH($CA32,RPS[[helper]:[helper]],0),CS$19)&lt;&gt;"",CS$20,""),
IF(AND(teacher_type="R",career_stage="HP"),
    IF(INDEX(RHPS[[Outstanding]:[Poor]],MATCH($CA32,RHPS[[helper]:[helper]],0),CS$19)&lt;&gt;"",CS$20,""),
IF(AND(teacher_type="TB",career_stage="P"),
    IF(INDEX(TBPS[[Outstanding]:[Poor]],MATCH($CA32,TBPS[[helper]:[helper]],0),CS$19)&lt;&gt;"",CS$20,""),
IF(AND(teacher_type="TB",career_stage="HP"),
    IF(INDEX(TBHPS[[Outstanding]:[Poor]],MATCH($CA32,TBHPS[[helper]:[helper]],0),CS$19)&lt;&gt;"",CS$20,""),
CS$20)))),
CS$20),CS$20)</f>
        <v>3</v>
      </c>
      <c r="CT32" s="359" cm="1">
        <f t="array" ref="CT32">IFERROR(IF($CA32&lt;&gt;"",
IF(AND(teacher_type="R",career_stage="P"),
    IF(INDEX(RPS[[Outstanding]:[Poor]],MATCH($CA32,RPS[[helper]:[helper]],0),CT$19)&lt;&gt;"",CT$20,""),
IF(AND(teacher_type="R",career_stage="HP"),
    IF(INDEX(RHPS[[Outstanding]:[Poor]],MATCH($CA32,RHPS[[helper]:[helper]],0),CT$19)&lt;&gt;"",CT$20,""),
IF(AND(teacher_type="TB",career_stage="P"),
    IF(INDEX(TBPS[[Outstanding]:[Poor]],MATCH($CA32,TBPS[[helper]:[helper]],0),CT$19)&lt;&gt;"",CT$20,""),
IF(AND(teacher_type="TB",career_stage="HP"),
    IF(INDEX(TBHPS[[Outstanding]:[Poor]],MATCH($CA32,TBHPS[[helper]:[helper]],0),CT$19)&lt;&gt;"",CT$20,""),
CT$20)))),
CT$20),CT$20)</f>
        <v>2</v>
      </c>
      <c r="CU32" s="359" cm="1">
        <f t="array" ref="CU32">IFERROR(IF($CA32&lt;&gt;"",
IF(AND(teacher_type="R",career_stage="P"),
    IF(INDEX(RPS[[Outstanding]:[Poor]],MATCH($CA32,RPS[[helper]:[helper]],0),CU$19)&lt;&gt;"",CU$20,""),
IF(AND(teacher_type="R",career_stage="HP"),
    IF(INDEX(RHPS[[Outstanding]:[Poor]],MATCH($CA32,RHPS[[helper]:[helper]],0),CU$19)&lt;&gt;"",CU$20,""),
IF(AND(teacher_type="TB",career_stage="P"),
    IF(INDEX(TBPS[[Outstanding]:[Poor]],MATCH($CA32,TBPS[[helper]:[helper]],0),CU$19)&lt;&gt;"",CU$20,""),
IF(AND(teacher_type="TB",career_stage="HP"),
    IF(INDEX(TBHPS[[Outstanding]:[Poor]],MATCH($CA32,TBHPS[[helper]:[helper]],0),CU$19)&lt;&gt;"",CU$20,""),
CU$20)))),
CU$20),CU$20)</f>
        <v>1</v>
      </c>
      <c r="CV32" s="360">
        <f t="shared" si="29"/>
        <v>5</v>
      </c>
      <c r="CY32" s="443" t="b" cm="1">
        <f t="array" ref="CY32">IFERROR(AND(S$12,IF(AND($G32,$D32="COI"),
IF(AND(teacher_type="R",career_stage="P"),VLOOKUP($BF32,RPI[],COLUMN(RPI[cot1]),FALSE),
IF(AND(teacher_type="R",career_stage="HP"),VLOOKUP($BF32,RHPI[],COLUMN(RHPI[cot1]),FALSE),
IF(AND(teacher_type="TB",career_stage="P"),VLOOKUP($BF32,TBPI[],COLUMN(TBPI[cot1]),FALSE),
IF(AND(teacher_type="TB",career_stage="HP"),VLOOKUP($BF32,TBHPI[],COLUMN(TBHPI[cot1]),FALSE),FALSE)))),
FALSE)),FALSE)</f>
        <v>0</v>
      </c>
      <c r="CZ32" s="443" t="b">
        <f t="shared" si="30"/>
        <v>0</v>
      </c>
      <c r="DA32" s="443" t="b" cm="1">
        <f t="array" ref="DA32">IFERROR(AND(U$12,IF(AND($G32,$D32="COI"),
IF(AND(teacher_type="R",career_stage="P"),VLOOKUP($BF32,RPI[],COLUMN(RPI[cot2]),FALSE),
IF(AND(teacher_type="R",career_stage="HP"),VLOOKUP($BF32,RHPI[],COLUMN(RHPI[cot2]),FALSE),
IF(AND(teacher_type="TB",career_stage="P"),VLOOKUP($BF32,TBPI[],COLUMN(TBPI[cot2]),FALSE),
IF(AND(teacher_type="TB",career_stage="HP"),VLOOKUP($BF32,TBHPI[],COLUMN(TBHPI[cot2]),FALSE),FALSE)))),
FALSE)),FALSE)</f>
        <v>0</v>
      </c>
      <c r="DB32" s="443" t="b">
        <f t="shared" si="31"/>
        <v>0</v>
      </c>
      <c r="DC32" s="443" t="b" cm="1">
        <f t="array" ref="DC32">IFERROR(AND(W$12,IF(AND($G32,$D32="COI"),
IF(AND(teacher_type="R",career_stage="P"),VLOOKUP($BF32,RPI[],COLUMN(RPI[cot3]),FALSE),
IF(AND(teacher_type="R",career_stage="HP"),VLOOKUP($BF32,RHPI[],COLUMN(RHPI[cot3]),FALSE),
IF(AND(teacher_type="TB",career_stage="P"),VLOOKUP($BF32,TBPI[],COLUMN(TBPI[cot3]),FALSE),
IF(AND(teacher_type="TB",career_stage="HP"),VLOOKUP($BF32,TBHPI[],COLUMN(TBHPI[cot3]),FALSE),FALSE)))),
FALSE)),FALSE)</f>
        <v>0</v>
      </c>
      <c r="DD32" s="443" t="b">
        <f t="shared" si="32"/>
        <v>0</v>
      </c>
      <c r="DE32" s="443" t="b" cm="1">
        <f t="array" ref="DE32">IFERROR(AND(Y$12,IF(AND($G32,$D32="COI"),
IF(AND(teacher_type="R",career_stage="P"),VLOOKUP($BF32,RPI[],COLUMN(RPI[cot4]),FALSE),
IF(AND(teacher_type="R",career_stage="HP"),VLOOKUP($BF32,RHPI[],COLUMN(RHPI[cot4]),FALSE),
IF(AND(teacher_type="TB",career_stage="P"),VLOOKUP($BF32,TBPI[],COLUMN(TBPI[cot4]),FALSE),
IF(AND(teacher_type="TB",career_stage="HP"),VLOOKUP($BF32,TBHPI[],COLUMN(TBHPI[cot4]),FALSE),FALSE)))),
FALSE)),FALSE)</f>
        <v>0</v>
      </c>
      <c r="DF32" s="443" t="b">
        <f t="shared" si="33"/>
        <v>0</v>
      </c>
      <c r="DG32" s="150">
        <f t="shared" si="34"/>
        <v>0</v>
      </c>
      <c r="DH32" s="154">
        <f>IF(AND(CY32,LOWER(TRIM(S$20))=LOWER(TRIM(data2!$U$35))),1,0) +
IF(AND(DA32,LOWER(TRIM(U$20))=LOWER(TRIM(data2!$U$35))),1,0) +
IF(AND(DC32,LOWER(TRIM(W$20))=LOWER(TRIM(data2!$U$35))),1,0) +
IF(AND(DE32,LOWER(TRIM(Y$20))=LOWER(TRIM(data2!$U$35))),1,0)</f>
        <v>0</v>
      </c>
      <c r="DJ32" s="154">
        <f t="shared" si="35"/>
        <v>0</v>
      </c>
    </row>
    <row r="33" spans="1:114" s="154" customFormat="1" ht="24.95" hidden="1" customHeight="1" x14ac:dyDescent="0.25">
      <c r="A33" s="156"/>
      <c r="B33" s="154">
        <v>12</v>
      </c>
      <c r="C33" s="150" t="str">
        <f>IFERROR(IF(AND(teacher_type="R",career_stage="P"),VLOOKUP(O33,RPI[],COLUMNS(RPI[[Strand]:[admin_selected_coi_ncoi]]),FALSE),IF(AND(teacher_type="R",career_stage="HP"),VLOOKUP(O33,RHPI[],COLUMNS(RHPI[[Strand]:[admin_selected_coi_ncoi]]),FALSE),IF(AND(teacher_type="TB",career_stage="P"),VLOOKUP(O33,TBPI[],COLUMNS(TBPI[[Strand]:[admin_selected_coi_ncoi]]),FALSE),IF(AND(teacher_type="TB",career_stage="HP"),VLOOKUP(O33,TBHPI[],COLUMNS(TBHPI[[Strand]:[admin_selected_coi_ncoi]]),FALSE),"NCOI")))),"NCOI")</f>
        <v>COI/NCOI</v>
      </c>
      <c r="D33" s="150" t="str">
        <f t="shared" si="10"/>
        <v/>
      </c>
      <c r="E33" s="150">
        <f>IFERROR(IF(AND(teacher_type="R",career_stage="P"),VLOOKUP($O33,RPI[[Strand]:[Domain]],COLUMNS(RPI[[Strand]:[Domain]]),FALSE),IF(AND(teacher_type="R",career_stage="HP"),VLOOKUP($O33,RHPI[[Strand]:[Domain]],COLUMNS(RHPI[[Strand]:[Domain]]),FALSE),IF(AND(teacher_type="TB",career_stage="P"),VLOOKUP($O33,TBPI[[Strand]:[Domain]],COLUMNS(TBPI[[Strand]:[Domain]]),FALSE),IF(AND(teacher_type="TB",career_stage="HP"),VLOOKUP($O33,TBHPI[[Strand]:[Domain]],COLUMNS(TBHPI[[Strand]:[Domain]]),FALSE),"")))),"")</f>
        <v>2</v>
      </c>
      <c r="F33" s="155" t="b">
        <f>AND(COUNTIFS($E$22:$E33,E33,$G$22:$G33,TRUE)=1,$G33)</f>
        <v>0</v>
      </c>
      <c r="G33" s="212" t="b">
        <f>IFERROR(IF(AND(teacher_type="R",career_stage="P"),VLOOKUP($O33,RPI[],COLUMNS(RPI[[Strand]:[Selected]]),FALSE),IF(AND(teacher_type="R",career_stage="HP"),VLOOKUP($O33,RHPI[],COLUMNS(RHPI[[Strand]:[Selected]]),FALSE),IF(AND(teacher_type="TB",career_stage="P"),VLOOKUP($O33,TBPI[],COLUMNS(TBPI[[Strand]:[Selected]]),FALSE),IF(AND(teacher_type="TB",career_stage="HP"),VLOOKUP($O33,TBHPI[],COLUMNS(TBHPI[[Strand]:[Selected]]),FALSE),FALSE)))),FALSE)</f>
        <v>0</v>
      </c>
      <c r="H33" s="156" t="b">
        <f>IFERROR(IF(AND(teacher_type="R",career_stage="P"),AND(COUNTIFS(RPS[Strand],$O33,RPS[QET],H$21)&gt;0,$G33),IF(AND(teacher_type="R",career_stage="HP"),AND(COUNTIFS(RHPS[Strand],$O33,RHPS[QET],H$21)&gt;0,$G33),IF(AND(teacher_type="TB",career_stage="P"),AND(COUNTIFS(TBPS[Strand],$O33,TBPS[QET],H$21)&gt;0,$G33),IF(AND(teacher_type="TB",career_stage="HP"),AND(COUNTIFS(TBHPS[Strand],$O33,TBHPS[QET],H$21)&gt;0,$G33),FALSE)))),FALSE)</f>
        <v>0</v>
      </c>
      <c r="I33" s="156" t="b">
        <f t="shared" si="11"/>
        <v>0</v>
      </c>
      <c r="J33" s="156" t="b">
        <f>IFERROR(IF(AND(teacher_type="R",career_stage="P"),AND(COUNTIFS(RPS[Strand],$O33,RPS[QET],J$21)&gt;0,$G33),IF(AND(teacher_type="R",career_stage="HP"),AND(COUNTIFS(RHPS[Strand],$O33,RHPS[QET],J$21)&gt;0,$G33),IF(AND(teacher_type="TB",career_stage="P"),AND(COUNTIFS(TBPS[Strand],$O33,TBPS[QET],J$21)&gt;0,$G33),IF(AND(teacher_type="TB",career_stage="HP"),AND(COUNTIFS(TBHPS[Strand],$O33,TBHPS[QET],J$21)&gt;0,$G33),FALSE)))),FALSE)</f>
        <v>0</v>
      </c>
      <c r="K33" s="156" t="b">
        <f>IFERROR(IF(AND(teacher_type="R",career_stage="P"),AND(COUNTIFS(RPS[Strand],$O33,RPS[QET],K$21)&gt;0,$G33),IF(AND(teacher_type="R",career_stage="HP"),AND(COUNTIFS(RHPS[Strand],$O33,RHPS[QET],K$21)&gt;0,$G33),IF(AND(teacher_type="TB",career_stage="P"),AND(COUNTIFS(TBPS[Strand],$O33,TBPS[QET],K$21)&gt;0,$G33),IF(AND(teacher_type="TB",career_stage="HP"),AND(COUNTIFS(TBHPS[Strand],$O33,TBHPS[QET],K$21)&gt;0,$G33),FALSE)))),FALSE)</f>
        <v>0</v>
      </c>
      <c r="L33" s="156" t="b">
        <f t="shared" si="12"/>
        <v>0</v>
      </c>
      <c r="M33" s="165" t="str">
        <f t="shared" si="13"/>
        <v/>
      </c>
      <c r="N33" s="48" t="str">
        <f>IF($G33,COUNTIF($G$22:$G33,TRUE),"")</f>
        <v/>
      </c>
      <c r="O33" s="48" t="str" cm="1">
        <f t="array" ref="O33">IFERROR(IF(AND(teacher_type="R",career_stage="P"),INDEX(RPI[Strand],$B33),IF(AND(teacher_type="R",career_stage="HP"),INDEX(RHPI[Strand],$B33),IF(AND(teacher_type="TB",career_stage="P"),INDEX(TBPI[Strand],$B33),IF(AND(teacher_type="TB",career_stage="HP"),INDEX(TBHPI[Strand],$B33),"")))),"")</f>
        <v>2.5.2</v>
      </c>
      <c r="P33" s="458"/>
      <c r="Q33" s="167">
        <f>IFERROR(IF(AND(teacher_type="R",career_stage="P"),VLOOKUP(O33,RPI[],COLUMNS(RPI[[Strand]:[Weight]]),FALSE), IF(AND(teacher_type="R",career_stage="HP"),VLOOKUP(O33,RHPI[],COLUMNS(RHPI[[Strand]:[Weight]]),FALSE), IF(AND(teacher_type="TB",career_stage="P"),VLOOKUP(O33,TBPI[],COLUMNS(TBPI[[Strand]:[Weight]]),FALSE), IF(AND(teacher_type="TB",career_stage="HP"),VLOOKUP(O33,TBHPI[],COLUMNS(TBHPI[[Strand]:[Weight]]),FALSE),0)))),0)</f>
        <v>0</v>
      </c>
      <c r="R33" s="168">
        <f>COUNTIFS($D$22:D33,"COI",$G$22:G33,TRUE)</f>
        <v>6</v>
      </c>
      <c r="S33" s="483"/>
      <c r="T33" s="169" t="str">
        <f>IFERROR(IF(LOWER(TRIM(S$20))=LOWER(TRIM(data2!$U$35)),"",IF(AND($G33,$D33="COI",S$12,CZ33),IF(OR(LOWER(TRIM(S$20))=LOWER(TRIM(data2!$U$36)),ISBLANK(S33)),1,IF(career_stage="P",VLOOKUP(S33,P_COT_vlookup,2,FALSE),IF(career_stage="HP",VLOOKUP(S33,HP_COT_vlookup,2,FALSE),""))),"")),"")</f>
        <v/>
      </c>
      <c r="U33" s="489"/>
      <c r="V33" s="170" t="str">
        <f>IFERROR(IF(LOWER(TRIM(U$20))=LOWER(TRIM(data2!$U$35)),"",IF(AND($G33,$D33="COI",U$12,DB33),IF(OR(LOWER(TRIM(U$20))=LOWER(TRIM(data2!$U$36)),ISBLANK(U33)),1,IF(career_stage="P",VLOOKUP(U33,P_COT_vlookup,2,FALSE),IF(career_stage="HP",VLOOKUP(U33,HP_COT_vlookup,2,FALSE),""))),"")),"")</f>
        <v/>
      </c>
      <c r="W33" s="483"/>
      <c r="X33" s="169" t="str">
        <f>IFERROR(IF(LOWER(TRIM(W$20))=LOWER(TRIM(data2!$U$35)),"",IF(AND($G33,$D33="COI",W$12,DD33),IF(OR(LOWER(TRIM(W$20))=LOWER(TRIM(data2!$U$36)),ISBLANK(W33)),1,IF(career_stage="P",VLOOKUP(W33,P_COT_vlookup,2,FALSE),IF(career_stage="HP",VLOOKUP(W33,HP_COT_vlookup,2,FALSE),""))),"")),"")</f>
        <v/>
      </c>
      <c r="Y33" s="489"/>
      <c r="Z33" s="170" t="str">
        <f>IFERROR(IF(LOWER(TRIM(Y$20))=LOWER(TRIM(data2!$U$35)),"",IF(AND($G33,$D33="COI",Y$12,DF33),IF(OR(LOWER(TRIM(Y$20))=LOWER(TRIM(data2!$U$36)),ISBLANK(Y33)),1,IF(career_stage="P",VLOOKUP(Y33,P_COT_vlookup,2,FALSE),IF(career_stage="HP",VLOOKUP(Y33,HP_COT_vlookup,2,FALSE),""))),"")),"")</f>
        <v/>
      </c>
      <c r="AA33" s="171">
        <f t="shared" si="14"/>
        <v>0</v>
      </c>
      <c r="AB33" s="471"/>
      <c r="AC33" s="473"/>
      <c r="AD33" s="473"/>
      <c r="AE33" s="49">
        <f t="shared" si="2"/>
        <v>0</v>
      </c>
      <c r="AF33" s="49">
        <f t="shared" si="3"/>
        <v>0</v>
      </c>
      <c r="AG33" s="172" t="str">
        <f t="shared" si="4"/>
        <v>Poor</v>
      </c>
      <c r="AI33" s="196" t="b">
        <f t="shared" si="5"/>
        <v>1</v>
      </c>
      <c r="AJ33" s="154" t="b">
        <v>1</v>
      </c>
      <c r="AK33" s="154" t="b">
        <v>1</v>
      </c>
      <c r="AL33" s="196" t="b">
        <f t="shared" si="15"/>
        <v>1</v>
      </c>
      <c r="AM33" s="154" t="b">
        <v>1</v>
      </c>
      <c r="AN33" s="196" t="b">
        <f t="shared" si="15"/>
        <v>1</v>
      </c>
      <c r="AO33" s="154" t="b">
        <v>1</v>
      </c>
      <c r="AP33" s="196" t="b">
        <f t="shared" si="15"/>
        <v>1</v>
      </c>
      <c r="AQ33" s="154" t="b">
        <v>1</v>
      </c>
      <c r="AR33" s="196" t="b">
        <f t="shared" si="15"/>
        <v>1</v>
      </c>
      <c r="AS33" s="154" t="b">
        <v>1</v>
      </c>
      <c r="AT33" s="154" t="b">
        <v>1</v>
      </c>
      <c r="AU33" s="196" t="b">
        <f t="shared" si="6"/>
        <v>1</v>
      </c>
      <c r="AV33" s="196" t="b">
        <f t="shared" si="7"/>
        <v>1</v>
      </c>
      <c r="AW33" s="196" t="b">
        <f t="shared" si="8"/>
        <v>1</v>
      </c>
      <c r="AX33" s="47" t="b">
        <v>1</v>
      </c>
      <c r="AY33" s="47" t="b">
        <v>1</v>
      </c>
      <c r="AZ33" s="47" t="b">
        <v>1</v>
      </c>
      <c r="BF33" s="154" t="str">
        <f t="shared" si="9"/>
        <v>2.5.2</v>
      </c>
      <c r="BG33" s="196" t="b" cm="1">
        <f t="array" ref="BG33">IFERROR(IF(OR(LOWER(TRIM(S$20))=LOWER(TRIM(data2!$U$35)),LOWER(TRIM(S$20))=LOWER(TRIM(data2!$U$36))),FALSE,AND(S$12,IF(AND($G33,$D33="COI"),
IF(AND(teacher_type="R",career_stage="P"),VLOOKUP($BF33,RPI[],COLUMN(RPI[cot1]),FALSE),
IF(AND(teacher_type="R",career_stage="HP"),VLOOKUP($BF33,RHPI[],COLUMN(RHPI[cot1]),FALSE),
IF(AND(teacher_type="TB",career_stage="P"),VLOOKUP($BF33,TBPI[],COLUMN(TBPI[cot1]),FALSE),
IF(AND(teacher_type="TB",career_stage="HP"),VLOOKUP($BF33,TBHPI[],COLUMN(TBHPI[cot1]),FALSE),FALSE)))),
FALSE))),FALSE)</f>
        <v>0</v>
      </c>
      <c r="BH33" s="154" t="b">
        <v>0</v>
      </c>
      <c r="BI33" s="196" t="b" cm="1">
        <f t="array" ref="BI33">IFERROR(IF(OR(LOWER(TRIM(U$20))=LOWER(TRIM(data2!$U$35)),LOWER(TRIM(U$20))=LOWER(TRIM(data2!$U$36))),FALSE,AND(U$12,IF(AND($G33,$D33="COI"),
IF(AND(teacher_type="R",career_stage="P"),VLOOKUP($BF33,RPI[],COLUMN(RPI[cot2]),FALSE),
IF(AND(teacher_type="R",career_stage="HP"),VLOOKUP($BF33,RHPI[],COLUMN(RHPI[cot2]),FALSE),
IF(AND(teacher_type="TB",career_stage="P"),VLOOKUP($BF33,TBPI[],COLUMN(TBPI[cot2]),FALSE),
IF(AND(teacher_type="TB",career_stage="HP"),VLOOKUP($BF33,TBHPI[],COLUMN(TBHPI[cot2]),FALSE),FALSE)))),
FALSE))),FALSE)</f>
        <v>0</v>
      </c>
      <c r="BJ33" s="154" t="b">
        <v>0</v>
      </c>
      <c r="BK33" s="196" t="b" cm="1">
        <f t="array" ref="BK33">IFERROR(IF(OR(LOWER(TRIM(W$20))=LOWER(TRIM(data2!$U$35)),LOWER(TRIM(W$20))=LOWER(TRIM(data2!$U$36))),FALSE,AND(W$12,IF(AND($G33,$D33="COI"),
IF(AND(teacher_type="R",career_stage="P"),VLOOKUP($BF33,RPI[],COLUMN(RPI[cot3]),FALSE),
IF(AND(teacher_type="R",career_stage="HP"),VLOOKUP($BF33,RHPI[],COLUMN(RHPI[cot3]),FALSE),
IF(AND(teacher_type="TB",career_stage="P"),VLOOKUP($BF33,TBPI[],COLUMN(TBPI[cot3]),FALSE),
IF(AND(teacher_type="TB",career_stage="HP"),VLOOKUP($BF33,TBHPI[],COLUMN(TBHPI[cot3]),FALSE),FALSE)))),
FALSE))),FALSE)</f>
        <v>0</v>
      </c>
      <c r="BL33" s="154" t="b">
        <v>0</v>
      </c>
      <c r="BM33" s="196" t="b" cm="1">
        <f t="array" ref="BM33">IFERROR(IF(OR(LOWER(TRIM(Y$20))=LOWER(TRIM(data2!$U$35)),LOWER(TRIM(Y$20))=LOWER(TRIM(data2!$U$36))),FALSE,AND(Y$12,IF(AND($G33,$D33="COI"),
IF(AND(teacher_type="R",career_stage="P"),VLOOKUP($BF33,RPI[],COLUMN(RPI[cot4]),FALSE),
IF(AND(teacher_type="R",career_stage="HP"),VLOOKUP($BF33,RHPI[],COLUMN(RHPI[cot4]),FALSE),
IF(AND(teacher_type="TB",career_stage="P"),VLOOKUP($BF33,TBPI[],COLUMN(TBPI[cot4]),FALSE),
IF(AND(teacher_type="TB",career_stage="HP"),VLOOKUP($BF33,TBHPI[],COLUMN(TBHPI[cot4]),FALSE),FALSE)))),
FALSE))),FALSE)</f>
        <v>0</v>
      </c>
      <c r="BN33" s="154" t="b">
        <v>0</v>
      </c>
      <c r="BO33" s="150">
        <f t="shared" si="16"/>
        <v>0</v>
      </c>
      <c r="BP33" s="196" t="b">
        <f t="shared" si="17"/>
        <v>0</v>
      </c>
      <c r="BQ33" s="196" t="b">
        <f>IFERROR(IF(OR(NOT(CZ33),LOWER(TRIM(S$20))=LOWER(TRIM(data2!$U$35))),TRUE,IF(AND(CZ33,LOWER(TRIM(S$20))=LOWER(TRIM(data2!$U$36))),FALSE)),FALSE)</f>
        <v>1</v>
      </c>
      <c r="BR33" s="196" t="b">
        <f t="shared" si="18"/>
        <v>0</v>
      </c>
      <c r="BS33" s="196" t="b">
        <f>IFERROR(IF(OR(NOT(DB33),LOWER(TRIM(U$20))=LOWER(TRIM(data2!$U$35))),TRUE,IF(AND(DB33,LOWER(TRIM(U$20))=LOWER(TRIM(data2!$U$36))),FALSE)),FALSE)</f>
        <v>1</v>
      </c>
      <c r="BT33" s="196" t="b">
        <f t="shared" si="19"/>
        <v>0</v>
      </c>
      <c r="BU33" s="196" t="b">
        <f>IFERROR(IF(OR(NOT(DD33),LOWER(TRIM(W$20))=LOWER(TRIM(data2!$U$35))),TRUE,IF(AND(DD33,LOWER(TRIM(W$20))=LOWER(TRIM(data2!$U$36))),FALSE)),FALSE)</f>
        <v>1</v>
      </c>
      <c r="BV33" s="196" t="b">
        <f t="shared" si="20"/>
        <v>0</v>
      </c>
      <c r="BW33" s="196" t="b">
        <f>IFERROR(IF(OR(NOT(DF33),LOWER(TRIM(Y$20))=LOWER(TRIM(data2!$U$35))),TRUE,IF(AND(DF33,LOWER(TRIM(Y$20))=LOWER(TRIM(data2!$U$36))),FALSE)),FALSE)</f>
        <v>1</v>
      </c>
      <c r="BY33" s="154" t="str">
        <f t="shared" si="21"/>
        <v/>
      </c>
      <c r="BZ33" s="154" t="str">
        <f t="shared" si="22"/>
        <v/>
      </c>
      <c r="CA33" s="154" t="str">
        <f t="shared" si="23"/>
        <v/>
      </c>
      <c r="CB33" s="154" t="str">
        <f t="shared" si="24"/>
        <v>CE33:CI33</v>
      </c>
      <c r="CC33" s="154" t="str">
        <f t="shared" si="25"/>
        <v>CK33:CO33</v>
      </c>
      <c r="CD33" s="154" t="str">
        <f t="shared" si="26"/>
        <v>CQ33:CU33</v>
      </c>
      <c r="CE33" s="359" cm="1">
        <f t="array" ref="CE33">IFERROR(IF($BY33&lt;&gt;"",
IF(AND(teacher_type="R",career_stage="P"),
    IF(INDEX(RPS[[Outstanding]:[Poor]],MATCH($BY33,RPS[[helper]:[helper]],0),CE$19)&lt;&gt;"",CE$20,""),
IF(AND(teacher_type="R",career_stage="HP"),
    IF(INDEX(RHPS[[Outstanding]:[Poor]],MATCH($BY33,RHPS[[helper]:[helper]],0),CE$19)&lt;&gt;"",CE$20,""),
IF(AND(teacher_type="TB",career_stage="P"),
    IF(INDEX(TBPS[[Outstanding]:[Poor]],MATCH($BY33,TBPS[[helper]:[helper]],0),CE$19)&lt;&gt;"",CE$20,""),
IF(AND(teacher_type="TB",career_stage="HP"),
    IF(INDEX(TBHPS[[Outstanding]:[Poor]],MATCH($BY33,TBHPS[[helper]:[helper]],0),CE$19)&lt;&gt;"",CE$20,""),
CE$20)))),
CE$20),CE$20)</f>
        <v>5</v>
      </c>
      <c r="CF33" s="359" cm="1">
        <f t="array" ref="CF33">IFERROR(IF($BY33&lt;&gt;"",
IF(AND(teacher_type="R",career_stage="P"),
    IF(INDEX(RPS[[Outstanding]:[Poor]],MATCH($BY33,RPS[[helper]:[helper]],0),CF$19)&lt;&gt;"",CF$20,""),
IF(AND(teacher_type="R",career_stage="HP"),
    IF(INDEX(RHPS[[Outstanding]:[Poor]],MATCH($BY33,RHPS[[helper]:[helper]],0),CF$19)&lt;&gt;"",CF$20,""),
IF(AND(teacher_type="TB",career_stage="P"),
    IF(INDEX(TBPS[[Outstanding]:[Poor]],MATCH($BY33,TBPS[[helper]:[helper]],0),CF$19)&lt;&gt;"",CF$20,""),
IF(AND(teacher_type="TB",career_stage="HP"),
    IF(INDEX(TBHPS[[Outstanding]:[Poor]],MATCH($BY33,TBHPS[[helper]:[helper]],0),CF$19)&lt;&gt;"",CF$20,""),
CF$20)))),
CF$20),CF$20)</f>
        <v>4</v>
      </c>
      <c r="CG33" s="359" cm="1">
        <f t="array" ref="CG33">IFERROR(IF($BY33&lt;&gt;"",
IF(AND(teacher_type="R",career_stage="P"),
    IF(INDEX(RPS[[Outstanding]:[Poor]],MATCH($BY33,RPS[[helper]:[helper]],0),CG$19)&lt;&gt;"",CG$20,""),
IF(AND(teacher_type="R",career_stage="HP"),
    IF(INDEX(RHPS[[Outstanding]:[Poor]],MATCH($BY33,RHPS[[helper]:[helper]],0),CG$19)&lt;&gt;"",CG$20,""),
IF(AND(teacher_type="TB",career_stage="P"),
    IF(INDEX(TBPS[[Outstanding]:[Poor]],MATCH($BY33,TBPS[[helper]:[helper]],0),CG$19)&lt;&gt;"",CG$20,""),
IF(AND(teacher_type="TB",career_stage="HP"),
    IF(INDEX(TBHPS[[Outstanding]:[Poor]],MATCH($BY33,TBHPS[[helper]:[helper]],0),CG$19)&lt;&gt;"",CG$20,""),
CG$20)))),
CG$20),CG$20)</f>
        <v>3</v>
      </c>
      <c r="CH33" s="359" cm="1">
        <f t="array" ref="CH33">IFERROR(IF($BY33&lt;&gt;"",
IF(AND(teacher_type="R",career_stage="P"),
    IF(INDEX(RPS[[Outstanding]:[Poor]],MATCH($BY33,RPS[[helper]:[helper]],0),CH$19)&lt;&gt;"",CH$20,""),
IF(AND(teacher_type="R",career_stage="HP"),
    IF(INDEX(RHPS[[Outstanding]:[Poor]],MATCH($BY33,RHPS[[helper]:[helper]],0),CH$19)&lt;&gt;"",CH$20,""),
IF(AND(teacher_type="TB",career_stage="P"),
    IF(INDEX(TBPS[[Outstanding]:[Poor]],MATCH($BY33,TBPS[[helper]:[helper]],0),CH$19)&lt;&gt;"",CH$20,""),
IF(AND(teacher_type="TB",career_stage="HP"),
    IF(INDEX(TBHPS[[Outstanding]:[Poor]],MATCH($BY33,TBHPS[[helper]:[helper]],0),CH$19)&lt;&gt;"",CH$20,""),
CH$20)))),
CH$20),CH$20)</f>
        <v>2</v>
      </c>
      <c r="CI33" s="359" cm="1">
        <f t="array" ref="CI33">IFERROR(IF($BY33&lt;&gt;"",
IF(AND(teacher_type="R",career_stage="P"),
    IF(INDEX(RPS[[Outstanding]:[Poor]],MATCH($BY33,RPS[[helper]:[helper]],0),CI$19)&lt;&gt;"",CI$20,""),
IF(AND(teacher_type="R",career_stage="HP"),
    IF(INDEX(RHPS[[Outstanding]:[Poor]],MATCH($BY33,RHPS[[helper]:[helper]],0),CI$19)&lt;&gt;"",CI$20,""),
IF(AND(teacher_type="TB",career_stage="P"),
    IF(INDEX(TBPS[[Outstanding]:[Poor]],MATCH($BY33,TBPS[[helper]:[helper]],0),CI$19)&lt;&gt;"",CI$20,""),
IF(AND(teacher_type="TB",career_stage="HP"),
    IF(INDEX(TBHPS[[Outstanding]:[Poor]],MATCH($BY33,TBHPS[[helper]:[helper]],0),CI$19)&lt;&gt;"",CI$20,""),
CI$20)))),
CI$20),CI$20)</f>
        <v>1</v>
      </c>
      <c r="CJ33" s="360">
        <f t="shared" si="27"/>
        <v>5</v>
      </c>
      <c r="CK33" s="359" cm="1">
        <f t="array" ref="CK33">IFERROR(IF($BZ33&lt;&gt;"",
IF(AND(teacher_type="R",career_stage="P"),
    IF(INDEX(RPS[[Outstanding]:[Poor]],MATCH($BZ33,RPS[[helper]:[helper]],0),CK$19)&lt;&gt;"",CK$20,""),
IF(AND(teacher_type="R",career_stage="HP"),
    IF(INDEX(RHPS[[Outstanding]:[Poor]],MATCH($BZ33,RHPS[[helper]:[helper]],0),CK$19)&lt;&gt;"",CK$20,""),
IF(AND(teacher_type="TB",career_stage="P"),
    IF(INDEX(TBPS[[Outstanding]:[Poor]],MATCH($BZ33,TBPS[[helper]:[helper]],0),CK$19)&lt;&gt;"",CK$20,""),
IF(AND(teacher_type="TB",career_stage="HP"),
    IF(INDEX(TBHPS[[Outstanding]:[Poor]],MATCH($BZ33,TBHPS[[helper]:[helper]],0),CK$19)&lt;&gt;"",CK$20,""),
CK$20)))),
CK$20),CK$20)</f>
        <v>5</v>
      </c>
      <c r="CL33" s="359" cm="1">
        <f t="array" ref="CL33">IFERROR(IF($BZ33&lt;&gt;"",
IF(AND(teacher_type="R",career_stage="P"),
    IF(INDEX(RPS[[Outstanding]:[Poor]],MATCH($BZ33,RPS[[helper]:[helper]],0),CL$19)&lt;&gt;"",CL$20,""),
IF(AND(teacher_type="R",career_stage="HP"),
    IF(INDEX(RHPS[[Outstanding]:[Poor]],MATCH($BZ33,RHPS[[helper]:[helper]],0),CL$19)&lt;&gt;"",CL$20,""),
IF(AND(teacher_type="TB",career_stage="P"),
    IF(INDEX(TBPS[[Outstanding]:[Poor]],MATCH($BZ33,TBPS[[helper]:[helper]],0),CL$19)&lt;&gt;"",CL$20,""),
IF(AND(teacher_type="TB",career_stage="HP"),
    IF(INDEX(TBHPS[[Outstanding]:[Poor]],MATCH($BZ33,TBHPS[[helper]:[helper]],0),CL$19)&lt;&gt;"",CL$20,""),
CL$20)))),
CL$20),CL$20)</f>
        <v>4</v>
      </c>
      <c r="CM33" s="359" cm="1">
        <f t="array" ref="CM33">IFERROR(IF($BZ33&lt;&gt;"",
IF(AND(teacher_type="R",career_stage="P"),
    IF(INDEX(RPS[[Outstanding]:[Poor]],MATCH($BZ33,RPS[[helper]:[helper]],0),CM$19)&lt;&gt;"",CM$20,""),
IF(AND(teacher_type="R",career_stage="HP"),
    IF(INDEX(RHPS[[Outstanding]:[Poor]],MATCH($BZ33,RHPS[[helper]:[helper]],0),CM$19)&lt;&gt;"",CM$20,""),
IF(AND(teacher_type="TB",career_stage="P"),
    IF(INDEX(TBPS[[Outstanding]:[Poor]],MATCH($BZ33,TBPS[[helper]:[helper]],0),CM$19)&lt;&gt;"",CM$20,""),
IF(AND(teacher_type="TB",career_stage="HP"),
    IF(INDEX(TBHPS[[Outstanding]:[Poor]],MATCH($BZ33,TBHPS[[helper]:[helper]],0),CM$19)&lt;&gt;"",CM$20,""),
CM$20)))),
CM$20),CM$20)</f>
        <v>3</v>
      </c>
      <c r="CN33" s="359" cm="1">
        <f t="array" ref="CN33">IFERROR(IF($BZ33&lt;&gt;"",
IF(AND(teacher_type="R",career_stage="P"),
    IF(INDEX(RPS[[Outstanding]:[Poor]],MATCH($BZ33,RPS[[helper]:[helper]],0),CN$19)&lt;&gt;"",CN$20,""),
IF(AND(teacher_type="R",career_stage="HP"),
    IF(INDEX(RHPS[[Outstanding]:[Poor]],MATCH($BZ33,RHPS[[helper]:[helper]],0),CN$19)&lt;&gt;"",CN$20,""),
IF(AND(teacher_type="TB",career_stage="P"),
    IF(INDEX(TBPS[[Outstanding]:[Poor]],MATCH($BZ33,TBPS[[helper]:[helper]],0),CN$19)&lt;&gt;"",CN$20,""),
IF(AND(teacher_type="TB",career_stage="HP"),
    IF(INDEX(TBHPS[[Outstanding]:[Poor]],MATCH($BZ33,TBHPS[[helper]:[helper]],0),CN$19)&lt;&gt;"",CN$20,""),
CN$20)))),
CN$20),CN$20)</f>
        <v>2</v>
      </c>
      <c r="CO33" s="359" cm="1">
        <f t="array" ref="CO33">IFERROR(IF($BZ33&lt;&gt;"",
IF(AND(teacher_type="R",career_stage="P"),
    IF(INDEX(RPS[[Outstanding]:[Poor]],MATCH($BZ33,RPS[[helper]:[helper]],0),CO$19)&lt;&gt;"",CO$20,""),
IF(AND(teacher_type="R",career_stage="HP"),
    IF(INDEX(RHPS[[Outstanding]:[Poor]],MATCH($BZ33,RHPS[[helper]:[helper]],0),CO$19)&lt;&gt;"",CO$20,""),
IF(AND(teacher_type="TB",career_stage="P"),
    IF(INDEX(TBPS[[Outstanding]:[Poor]],MATCH($BZ33,TBPS[[helper]:[helper]],0),CO$19)&lt;&gt;"",CO$20,""),
IF(AND(teacher_type="TB",career_stage="HP"),
    IF(INDEX(TBHPS[[Outstanding]:[Poor]],MATCH($BZ33,TBHPS[[helper]:[helper]],0),CO$19)&lt;&gt;"",CO$20,""),
CO$20)))),
CO$20),CO$20)</f>
        <v>1</v>
      </c>
      <c r="CP33" s="360">
        <f t="shared" si="28"/>
        <v>5</v>
      </c>
      <c r="CQ33" s="359" cm="1">
        <f t="array" ref="CQ33">IFERROR(IF($CA33&lt;&gt;"",
IF(AND(teacher_type="R",career_stage="P"),
    IF(INDEX(RPS[[Outstanding]:[Poor]],MATCH($CA33,RPS[[helper]:[helper]],0),CQ$19)&lt;&gt;"",CQ$20,""),
IF(AND(teacher_type="R",career_stage="HP"),
    IF(INDEX(RHPS[[Outstanding]:[Poor]],MATCH($CA33,RHPS[[helper]:[helper]],0),CQ$19)&lt;&gt;"",CQ$20,""),
IF(AND(teacher_type="TB",career_stage="P"),
    IF(INDEX(TBPS[[Outstanding]:[Poor]],MATCH($CA33,TBPS[[helper]:[helper]],0),CQ$19)&lt;&gt;"",CQ$20,""),
IF(AND(teacher_type="TB",career_stage="HP"),
    IF(INDEX(TBHPS[[Outstanding]:[Poor]],MATCH($CA33,TBHPS[[helper]:[helper]],0),CQ$19)&lt;&gt;"",CQ$20,""),
CQ$20)))),
CQ$20),CQ$20)</f>
        <v>5</v>
      </c>
      <c r="CR33" s="359" cm="1">
        <f t="array" ref="CR33">IFERROR(IF($CA33&lt;&gt;"",
IF(AND(teacher_type="R",career_stage="P"),
    IF(INDEX(RPS[[Outstanding]:[Poor]],MATCH($CA33,RPS[[helper]:[helper]],0),CR$19)&lt;&gt;"",CR$20,""),
IF(AND(teacher_type="R",career_stage="HP"),
    IF(INDEX(RHPS[[Outstanding]:[Poor]],MATCH($CA33,RHPS[[helper]:[helper]],0),CR$19)&lt;&gt;"",CR$20,""),
IF(AND(teacher_type="TB",career_stage="P"),
    IF(INDEX(TBPS[[Outstanding]:[Poor]],MATCH($CA33,TBPS[[helper]:[helper]],0),CR$19)&lt;&gt;"",CR$20,""),
IF(AND(teacher_type="TB",career_stage="HP"),
    IF(INDEX(TBHPS[[Outstanding]:[Poor]],MATCH($CA33,TBHPS[[helper]:[helper]],0),CR$19)&lt;&gt;"",CR$20,""),
CR$20)))),
CR$20),CR$20)</f>
        <v>4</v>
      </c>
      <c r="CS33" s="359" cm="1">
        <f t="array" ref="CS33">IFERROR(IF($CA33&lt;&gt;"",
IF(AND(teacher_type="R",career_stage="P"),
    IF(INDEX(RPS[[Outstanding]:[Poor]],MATCH($CA33,RPS[[helper]:[helper]],0),CS$19)&lt;&gt;"",CS$20,""),
IF(AND(teacher_type="R",career_stage="HP"),
    IF(INDEX(RHPS[[Outstanding]:[Poor]],MATCH($CA33,RHPS[[helper]:[helper]],0),CS$19)&lt;&gt;"",CS$20,""),
IF(AND(teacher_type="TB",career_stage="P"),
    IF(INDEX(TBPS[[Outstanding]:[Poor]],MATCH($CA33,TBPS[[helper]:[helper]],0),CS$19)&lt;&gt;"",CS$20,""),
IF(AND(teacher_type="TB",career_stage="HP"),
    IF(INDEX(TBHPS[[Outstanding]:[Poor]],MATCH($CA33,TBHPS[[helper]:[helper]],0),CS$19)&lt;&gt;"",CS$20,""),
CS$20)))),
CS$20),CS$20)</f>
        <v>3</v>
      </c>
      <c r="CT33" s="359" cm="1">
        <f t="array" ref="CT33">IFERROR(IF($CA33&lt;&gt;"",
IF(AND(teacher_type="R",career_stage="P"),
    IF(INDEX(RPS[[Outstanding]:[Poor]],MATCH($CA33,RPS[[helper]:[helper]],0),CT$19)&lt;&gt;"",CT$20,""),
IF(AND(teacher_type="R",career_stage="HP"),
    IF(INDEX(RHPS[[Outstanding]:[Poor]],MATCH($CA33,RHPS[[helper]:[helper]],0),CT$19)&lt;&gt;"",CT$20,""),
IF(AND(teacher_type="TB",career_stage="P"),
    IF(INDEX(TBPS[[Outstanding]:[Poor]],MATCH($CA33,TBPS[[helper]:[helper]],0),CT$19)&lt;&gt;"",CT$20,""),
IF(AND(teacher_type="TB",career_stage="HP"),
    IF(INDEX(TBHPS[[Outstanding]:[Poor]],MATCH($CA33,TBHPS[[helper]:[helper]],0),CT$19)&lt;&gt;"",CT$20,""),
CT$20)))),
CT$20),CT$20)</f>
        <v>2</v>
      </c>
      <c r="CU33" s="359" cm="1">
        <f t="array" ref="CU33">IFERROR(IF($CA33&lt;&gt;"",
IF(AND(teacher_type="R",career_stage="P"),
    IF(INDEX(RPS[[Outstanding]:[Poor]],MATCH($CA33,RPS[[helper]:[helper]],0),CU$19)&lt;&gt;"",CU$20,""),
IF(AND(teacher_type="R",career_stage="HP"),
    IF(INDEX(RHPS[[Outstanding]:[Poor]],MATCH($CA33,RHPS[[helper]:[helper]],0),CU$19)&lt;&gt;"",CU$20,""),
IF(AND(teacher_type="TB",career_stage="P"),
    IF(INDEX(TBPS[[Outstanding]:[Poor]],MATCH($CA33,TBPS[[helper]:[helper]],0),CU$19)&lt;&gt;"",CU$20,""),
IF(AND(teacher_type="TB",career_stage="HP"),
    IF(INDEX(TBHPS[[Outstanding]:[Poor]],MATCH($CA33,TBHPS[[helper]:[helper]],0),CU$19)&lt;&gt;"",CU$20,""),
CU$20)))),
CU$20),CU$20)</f>
        <v>1</v>
      </c>
      <c r="CV33" s="360">
        <f t="shared" si="29"/>
        <v>5</v>
      </c>
      <c r="CY33" s="443" t="b" cm="1">
        <f t="array" ref="CY33">IFERROR(AND(S$12,IF(AND($G33,$D33="COI"),
IF(AND(teacher_type="R",career_stage="P"),VLOOKUP($BF33,RPI[],COLUMN(RPI[cot1]),FALSE),
IF(AND(teacher_type="R",career_stage="HP"),VLOOKUP($BF33,RHPI[],COLUMN(RHPI[cot1]),FALSE),
IF(AND(teacher_type="TB",career_stage="P"),VLOOKUP($BF33,TBPI[],COLUMN(TBPI[cot1]),FALSE),
IF(AND(teacher_type="TB",career_stage="HP"),VLOOKUP($BF33,TBHPI[],COLUMN(TBHPI[cot1]),FALSE),FALSE)))),
FALSE)),FALSE)</f>
        <v>0</v>
      </c>
      <c r="CZ33" s="443" t="b">
        <f t="shared" si="30"/>
        <v>0</v>
      </c>
      <c r="DA33" s="443" t="b" cm="1">
        <f t="array" ref="DA33">IFERROR(AND(U$12,IF(AND($G33,$D33="COI"),
IF(AND(teacher_type="R",career_stage="P"),VLOOKUP($BF33,RPI[],COLUMN(RPI[cot2]),FALSE),
IF(AND(teacher_type="R",career_stage="HP"),VLOOKUP($BF33,RHPI[],COLUMN(RHPI[cot2]),FALSE),
IF(AND(teacher_type="TB",career_stage="P"),VLOOKUP($BF33,TBPI[],COLUMN(TBPI[cot2]),FALSE),
IF(AND(teacher_type="TB",career_stage="HP"),VLOOKUP($BF33,TBHPI[],COLUMN(TBHPI[cot2]),FALSE),FALSE)))),
FALSE)),FALSE)</f>
        <v>0</v>
      </c>
      <c r="DB33" s="443" t="b">
        <f t="shared" si="31"/>
        <v>0</v>
      </c>
      <c r="DC33" s="443" t="b" cm="1">
        <f t="array" ref="DC33">IFERROR(AND(W$12,IF(AND($G33,$D33="COI"),
IF(AND(teacher_type="R",career_stage="P"),VLOOKUP($BF33,RPI[],COLUMN(RPI[cot3]),FALSE),
IF(AND(teacher_type="R",career_stage="HP"),VLOOKUP($BF33,RHPI[],COLUMN(RHPI[cot3]),FALSE),
IF(AND(teacher_type="TB",career_stage="P"),VLOOKUP($BF33,TBPI[],COLUMN(TBPI[cot3]),FALSE),
IF(AND(teacher_type="TB",career_stage="HP"),VLOOKUP($BF33,TBHPI[],COLUMN(TBHPI[cot3]),FALSE),FALSE)))),
FALSE)),FALSE)</f>
        <v>0</v>
      </c>
      <c r="DD33" s="443" t="b">
        <f t="shared" si="32"/>
        <v>0</v>
      </c>
      <c r="DE33" s="443" t="b" cm="1">
        <f t="array" ref="DE33">IFERROR(AND(Y$12,IF(AND($G33,$D33="COI"),
IF(AND(teacher_type="R",career_stage="P"),VLOOKUP($BF33,RPI[],COLUMN(RPI[cot4]),FALSE),
IF(AND(teacher_type="R",career_stage="HP"),VLOOKUP($BF33,RHPI[],COLUMN(RHPI[cot4]),FALSE),
IF(AND(teacher_type="TB",career_stage="P"),VLOOKUP($BF33,TBPI[],COLUMN(TBPI[cot4]),FALSE),
IF(AND(teacher_type="TB",career_stage="HP"),VLOOKUP($BF33,TBHPI[],COLUMN(TBHPI[cot4]),FALSE),FALSE)))),
FALSE)),FALSE)</f>
        <v>0</v>
      </c>
      <c r="DF33" s="443" t="b">
        <f t="shared" si="33"/>
        <v>0</v>
      </c>
      <c r="DG33" s="150">
        <f t="shared" si="34"/>
        <v>0</v>
      </c>
      <c r="DH33" s="154">
        <f>IF(AND(CY33,LOWER(TRIM(S$20))=LOWER(TRIM(data2!$U$35))),1,0) +
IF(AND(DA33,LOWER(TRIM(U$20))=LOWER(TRIM(data2!$U$35))),1,0) +
IF(AND(DC33,LOWER(TRIM(W$20))=LOWER(TRIM(data2!$U$35))),1,0) +
IF(AND(DE33,LOWER(TRIM(Y$20))=LOWER(TRIM(data2!$U$35))),1,0)</f>
        <v>0</v>
      </c>
      <c r="DJ33" s="154">
        <f t="shared" si="35"/>
        <v>0</v>
      </c>
    </row>
    <row r="34" spans="1:114" s="154" customFormat="1" ht="24.95" hidden="1" customHeight="1" x14ac:dyDescent="0.25">
      <c r="A34" s="156"/>
      <c r="B34" s="154">
        <v>13</v>
      </c>
      <c r="C34" s="150" t="str">
        <f>IFERROR(IF(AND(teacher_type="R",career_stage="P"),VLOOKUP(O34,RPI[],COLUMNS(RPI[[Strand]:[admin_selected_coi_ncoi]]),FALSE),IF(AND(teacher_type="R",career_stage="HP"),VLOOKUP(O34,RHPI[],COLUMNS(RHPI[[Strand]:[admin_selected_coi_ncoi]]),FALSE),IF(AND(teacher_type="TB",career_stage="P"),VLOOKUP(O34,TBPI[],COLUMNS(TBPI[[Strand]:[admin_selected_coi_ncoi]]),FALSE),IF(AND(teacher_type="TB",career_stage="HP"),VLOOKUP(O34,TBHPI[],COLUMNS(TBHPI[[Strand]:[admin_selected_coi_ncoi]]),FALSE),"NCOI")))),"NCOI")</f>
        <v>COI</v>
      </c>
      <c r="D34" s="150" t="str">
        <f t="shared" si="10"/>
        <v/>
      </c>
      <c r="E34" s="150">
        <f>IFERROR(IF(AND(teacher_type="R",career_stage="P"),VLOOKUP($O34,RPI[[Strand]:[Domain]],COLUMNS(RPI[[Strand]:[Domain]]),FALSE),IF(AND(teacher_type="R",career_stage="HP"),VLOOKUP($O34,RHPI[[Strand]:[Domain]],COLUMNS(RHPI[[Strand]:[Domain]]),FALSE),IF(AND(teacher_type="TB",career_stage="P"),VLOOKUP($O34,TBPI[[Strand]:[Domain]],COLUMNS(TBPI[[Strand]:[Domain]]),FALSE),IF(AND(teacher_type="TB",career_stage="HP"),VLOOKUP($O34,TBHPI[[Strand]:[Domain]],COLUMNS(TBHPI[[Strand]:[Domain]]),FALSE),"")))),"")</f>
        <v>2</v>
      </c>
      <c r="F34" s="155" t="b">
        <f>AND(COUNTIFS($E$22:$E34,E34,$G$22:$G34,TRUE)=1,$G34)</f>
        <v>0</v>
      </c>
      <c r="G34" s="212" t="b">
        <f>IFERROR(IF(AND(teacher_type="R",career_stage="P"),VLOOKUP($O34,RPI[],COLUMNS(RPI[[Strand]:[Selected]]),FALSE),IF(AND(teacher_type="R",career_stage="HP"),VLOOKUP($O34,RHPI[],COLUMNS(RHPI[[Strand]:[Selected]]),FALSE),IF(AND(teacher_type="TB",career_stage="P"),VLOOKUP($O34,TBPI[],COLUMNS(TBPI[[Strand]:[Selected]]),FALSE),IF(AND(teacher_type="TB",career_stage="HP"),VLOOKUP($O34,TBHPI[],COLUMNS(TBHPI[[Strand]:[Selected]]),FALSE),FALSE)))),FALSE)</f>
        <v>0</v>
      </c>
      <c r="H34" s="156" t="b">
        <f>IFERROR(IF(AND(teacher_type="R",career_stage="P"),AND(COUNTIFS(RPS[Strand],$O34,RPS[QET],H$21)&gt;0,$G34),IF(AND(teacher_type="R",career_stage="HP"),AND(COUNTIFS(RHPS[Strand],$O34,RHPS[QET],H$21)&gt;0,$G34),IF(AND(teacher_type="TB",career_stage="P"),AND(COUNTIFS(TBPS[Strand],$O34,TBPS[QET],H$21)&gt;0,$G34),IF(AND(teacher_type="TB",career_stage="HP"),AND(COUNTIFS(TBHPS[Strand],$O34,TBHPS[QET],H$21)&gt;0,$G34),FALSE)))),FALSE)</f>
        <v>0</v>
      </c>
      <c r="I34" s="156" t="b">
        <f t="shared" si="11"/>
        <v>0</v>
      </c>
      <c r="J34" s="156" t="b">
        <f>IFERROR(IF(AND(teacher_type="R",career_stage="P"),AND(COUNTIFS(RPS[Strand],$O34,RPS[QET],J$21)&gt;0,$G34),IF(AND(teacher_type="R",career_stage="HP"),AND(COUNTIFS(RHPS[Strand],$O34,RHPS[QET],J$21)&gt;0,$G34),IF(AND(teacher_type="TB",career_stage="P"),AND(COUNTIFS(TBPS[Strand],$O34,TBPS[QET],J$21)&gt;0,$G34),IF(AND(teacher_type="TB",career_stage="HP"),AND(COUNTIFS(TBHPS[Strand],$O34,TBHPS[QET],J$21)&gt;0,$G34),FALSE)))),FALSE)</f>
        <v>0</v>
      </c>
      <c r="K34" s="156" t="b">
        <f>IFERROR(IF(AND(teacher_type="R",career_stage="P"),AND(COUNTIFS(RPS[Strand],$O34,RPS[QET],K$21)&gt;0,$G34),IF(AND(teacher_type="R",career_stage="HP"),AND(COUNTIFS(RHPS[Strand],$O34,RHPS[QET],K$21)&gt;0,$G34),IF(AND(teacher_type="TB",career_stage="P"),AND(COUNTIFS(TBPS[Strand],$O34,TBPS[QET],K$21)&gt;0,$G34),IF(AND(teacher_type="TB",career_stage="HP"),AND(COUNTIFS(TBHPS[Strand],$O34,TBHPS[QET],K$21)&gt;0,$G34),FALSE)))),FALSE)</f>
        <v>0</v>
      </c>
      <c r="L34" s="156" t="b">
        <f t="shared" si="12"/>
        <v>0</v>
      </c>
      <c r="M34" s="165" t="str">
        <f t="shared" si="13"/>
        <v/>
      </c>
      <c r="N34" s="48" t="str">
        <f>IF($G34,COUNTIF($G$22:$G34,TRUE),"")</f>
        <v/>
      </c>
      <c r="O34" s="48" t="str" cm="1">
        <f t="array" ref="O34">IFERROR(IF(AND(teacher_type="R",career_stage="P"),INDEX(RPI[Strand],$B34),IF(AND(teacher_type="R",career_stage="HP"),INDEX(RHPI[Strand],$B34),IF(AND(teacher_type="TB",career_stage="P"),INDEX(TBPI[Strand],$B34),IF(AND(teacher_type="TB",career_stage="HP"),INDEX(TBHPI[Strand],$B34),"")))),"")</f>
        <v>2.6.2</v>
      </c>
      <c r="P34" s="166" t="str">
        <f>$C$34</f>
        <v>COI</v>
      </c>
      <c r="Q34" s="167">
        <f>IFERROR(IF(AND(teacher_type="R",career_stage="P"),VLOOKUP(O34,RPI[],COLUMNS(RPI[[Strand]:[Weight]]),FALSE), IF(AND(teacher_type="R",career_stage="HP"),VLOOKUP(O34,RHPI[],COLUMNS(RHPI[[Strand]:[Weight]]),FALSE), IF(AND(teacher_type="TB",career_stage="P"),VLOOKUP(O34,TBPI[],COLUMNS(TBPI[[Strand]:[Weight]]),FALSE), IF(AND(teacher_type="TB",career_stage="HP"),VLOOKUP(O34,TBHPI[],COLUMNS(TBHPI[[Strand]:[Weight]]),FALSE),0)))),0)</f>
        <v>0</v>
      </c>
      <c r="R34" s="168">
        <f>COUNTIFS($D$22:D34,"COI",$G$22:G34,TRUE)</f>
        <v>6</v>
      </c>
      <c r="S34" s="483"/>
      <c r="T34" s="169" t="str">
        <f>IFERROR(IF(LOWER(TRIM(S$20))=LOWER(TRIM(data2!$U$35)),"",IF(AND($G34,$D34="COI",S$12,CZ34),IF(OR(LOWER(TRIM(S$20))=LOWER(TRIM(data2!$U$36)),ISBLANK(S34)),1,IF(career_stage="P",VLOOKUP(S34,P_COT_vlookup,2,FALSE),IF(career_stage="HP",VLOOKUP(S34,HP_COT_vlookup,2,FALSE),""))),"")),"")</f>
        <v/>
      </c>
      <c r="U34" s="489"/>
      <c r="V34" s="170" t="str">
        <f>IFERROR(IF(LOWER(TRIM(U$20))=LOWER(TRIM(data2!$U$35)),"",IF(AND($G34,$D34="COI",U$12,DB34),IF(OR(LOWER(TRIM(U$20))=LOWER(TRIM(data2!$U$36)),ISBLANK(U34)),1,IF(career_stage="P",VLOOKUP(U34,P_COT_vlookup,2,FALSE),IF(career_stage="HP",VLOOKUP(U34,HP_COT_vlookup,2,FALSE),""))),"")),"")</f>
        <v/>
      </c>
      <c r="W34" s="483"/>
      <c r="X34" s="169" t="str">
        <f>IFERROR(IF(LOWER(TRIM(W$20))=LOWER(TRIM(data2!$U$35)),"",IF(AND($G34,$D34="COI",W$12,DD34),IF(OR(LOWER(TRIM(W$20))=LOWER(TRIM(data2!$U$36)),ISBLANK(W34)),1,IF(career_stage="P",VLOOKUP(W34,P_COT_vlookup,2,FALSE),IF(career_stage="HP",VLOOKUP(W34,HP_COT_vlookup,2,FALSE),""))),"")),"")</f>
        <v/>
      </c>
      <c r="Y34" s="489"/>
      <c r="Z34" s="170" t="str">
        <f>IFERROR(IF(LOWER(TRIM(Y$20))=LOWER(TRIM(data2!$U$35)),"",IF(AND($G34,$D34="COI",Y$12,DF34),IF(OR(LOWER(TRIM(Y$20))=LOWER(TRIM(data2!$U$36)),ISBLANK(Y34)),1,IF(career_stage="P",VLOOKUP(Y34,P_COT_vlookup,2,FALSE),IF(career_stage="HP",VLOOKUP(Y34,HP_COT_vlookup,2,FALSE),""))),"")),"")</f>
        <v/>
      </c>
      <c r="AA34" s="171">
        <f t="shared" si="14"/>
        <v>0</v>
      </c>
      <c r="AB34" s="471"/>
      <c r="AC34" s="473"/>
      <c r="AD34" s="473"/>
      <c r="AE34" s="49">
        <f t="shared" si="2"/>
        <v>0</v>
      </c>
      <c r="AF34" s="49">
        <f t="shared" si="3"/>
        <v>0</v>
      </c>
      <c r="AG34" s="172" t="str">
        <f t="shared" si="4"/>
        <v>Poor</v>
      </c>
      <c r="AI34" s="196" t="b">
        <f t="shared" si="5"/>
        <v>1</v>
      </c>
      <c r="AJ34" s="154" t="b">
        <v>1</v>
      </c>
      <c r="AK34" s="154" t="b">
        <v>1</v>
      </c>
      <c r="AL34" s="196" t="b">
        <f t="shared" si="15"/>
        <v>1</v>
      </c>
      <c r="AM34" s="154" t="b">
        <v>1</v>
      </c>
      <c r="AN34" s="196" t="b">
        <f t="shared" si="15"/>
        <v>1</v>
      </c>
      <c r="AO34" s="154" t="b">
        <v>1</v>
      </c>
      <c r="AP34" s="196" t="b">
        <f t="shared" si="15"/>
        <v>1</v>
      </c>
      <c r="AQ34" s="154" t="b">
        <v>1</v>
      </c>
      <c r="AR34" s="196" t="b">
        <f t="shared" si="15"/>
        <v>1</v>
      </c>
      <c r="AS34" s="154" t="b">
        <v>1</v>
      </c>
      <c r="AT34" s="154" t="b">
        <v>1</v>
      </c>
      <c r="AU34" s="196" t="b">
        <f t="shared" si="6"/>
        <v>1</v>
      </c>
      <c r="AV34" s="196" t="b">
        <f t="shared" si="7"/>
        <v>1</v>
      </c>
      <c r="AW34" s="196" t="b">
        <f t="shared" si="8"/>
        <v>1</v>
      </c>
      <c r="AX34" s="47" t="b">
        <v>1</v>
      </c>
      <c r="AY34" s="47" t="b">
        <v>1</v>
      </c>
      <c r="AZ34" s="47" t="b">
        <v>1</v>
      </c>
      <c r="BF34" s="154" t="str">
        <f t="shared" si="9"/>
        <v>2.6.2</v>
      </c>
      <c r="BG34" s="196" t="b" cm="1">
        <f t="array" ref="BG34">IFERROR(IF(OR(LOWER(TRIM(S$20))=LOWER(TRIM(data2!$U$35)),LOWER(TRIM(S$20))=LOWER(TRIM(data2!$U$36))),FALSE,AND(S$12,IF(AND($G34,$D34="COI"),
IF(AND(teacher_type="R",career_stage="P"),VLOOKUP($BF34,RPI[],COLUMN(RPI[cot1]),FALSE),
IF(AND(teacher_type="R",career_stage="HP"),VLOOKUP($BF34,RHPI[],COLUMN(RHPI[cot1]),FALSE),
IF(AND(teacher_type="TB",career_stage="P"),VLOOKUP($BF34,TBPI[],COLUMN(TBPI[cot1]),FALSE),
IF(AND(teacher_type="TB",career_stage="HP"),VLOOKUP($BF34,TBHPI[],COLUMN(TBHPI[cot1]),FALSE),FALSE)))),
FALSE))),FALSE)</f>
        <v>0</v>
      </c>
      <c r="BH34" s="154" t="b">
        <v>0</v>
      </c>
      <c r="BI34" s="196" t="b" cm="1">
        <f t="array" ref="BI34">IFERROR(IF(OR(LOWER(TRIM(U$20))=LOWER(TRIM(data2!$U$35)),LOWER(TRIM(U$20))=LOWER(TRIM(data2!$U$36))),FALSE,AND(U$12,IF(AND($G34,$D34="COI"),
IF(AND(teacher_type="R",career_stage="P"),VLOOKUP($BF34,RPI[],COLUMN(RPI[cot2]),FALSE),
IF(AND(teacher_type="R",career_stage="HP"),VLOOKUP($BF34,RHPI[],COLUMN(RHPI[cot2]),FALSE),
IF(AND(teacher_type="TB",career_stage="P"),VLOOKUP($BF34,TBPI[],COLUMN(TBPI[cot2]),FALSE),
IF(AND(teacher_type="TB",career_stage="HP"),VLOOKUP($BF34,TBHPI[],COLUMN(TBHPI[cot2]),FALSE),FALSE)))),
FALSE))),FALSE)</f>
        <v>0</v>
      </c>
      <c r="BJ34" s="154" t="b">
        <v>0</v>
      </c>
      <c r="BK34" s="196" t="b" cm="1">
        <f t="array" ref="BK34">IFERROR(IF(OR(LOWER(TRIM(W$20))=LOWER(TRIM(data2!$U$35)),LOWER(TRIM(W$20))=LOWER(TRIM(data2!$U$36))),FALSE,AND(W$12,IF(AND($G34,$D34="COI"),
IF(AND(teacher_type="R",career_stage="P"),VLOOKUP($BF34,RPI[],COLUMN(RPI[cot3]),FALSE),
IF(AND(teacher_type="R",career_stage="HP"),VLOOKUP($BF34,RHPI[],COLUMN(RHPI[cot3]),FALSE),
IF(AND(teacher_type="TB",career_stage="P"),VLOOKUP($BF34,TBPI[],COLUMN(TBPI[cot3]),FALSE),
IF(AND(teacher_type="TB",career_stage="HP"),VLOOKUP($BF34,TBHPI[],COLUMN(TBHPI[cot3]),FALSE),FALSE)))),
FALSE))),FALSE)</f>
        <v>0</v>
      </c>
      <c r="BL34" s="154" t="b">
        <v>0</v>
      </c>
      <c r="BM34" s="196" t="b" cm="1">
        <f t="array" ref="BM34">IFERROR(IF(OR(LOWER(TRIM(Y$20))=LOWER(TRIM(data2!$U$35)),LOWER(TRIM(Y$20))=LOWER(TRIM(data2!$U$36))),FALSE,AND(Y$12,IF(AND($G34,$D34="COI"),
IF(AND(teacher_type="R",career_stage="P"),VLOOKUP($BF34,RPI[],COLUMN(RPI[cot4]),FALSE),
IF(AND(teacher_type="R",career_stage="HP"),VLOOKUP($BF34,RHPI[],COLUMN(RHPI[cot4]),FALSE),
IF(AND(teacher_type="TB",career_stage="P"),VLOOKUP($BF34,TBPI[],COLUMN(TBPI[cot4]),FALSE),
IF(AND(teacher_type="TB",career_stage="HP"),VLOOKUP($BF34,TBHPI[],COLUMN(TBHPI[cot4]),FALSE),FALSE)))),
FALSE))),FALSE)</f>
        <v>0</v>
      </c>
      <c r="BN34" s="154" t="b">
        <v>0</v>
      </c>
      <c r="BO34" s="150">
        <f t="shared" si="16"/>
        <v>0</v>
      </c>
      <c r="BP34" s="196" t="b">
        <f t="shared" si="17"/>
        <v>0</v>
      </c>
      <c r="BQ34" s="196" t="b">
        <f>IFERROR(IF(OR(NOT(CZ34),LOWER(TRIM(S$20))=LOWER(TRIM(data2!$U$35))),TRUE,IF(AND(CZ34,LOWER(TRIM(S$20))=LOWER(TRIM(data2!$U$36))),FALSE)),FALSE)</f>
        <v>1</v>
      </c>
      <c r="BR34" s="196" t="b">
        <f t="shared" si="18"/>
        <v>0</v>
      </c>
      <c r="BS34" s="196" t="b">
        <f>IFERROR(IF(OR(NOT(DB34),LOWER(TRIM(U$20))=LOWER(TRIM(data2!$U$35))),TRUE,IF(AND(DB34,LOWER(TRIM(U$20))=LOWER(TRIM(data2!$U$36))),FALSE)),FALSE)</f>
        <v>1</v>
      </c>
      <c r="BT34" s="196" t="b">
        <f t="shared" si="19"/>
        <v>0</v>
      </c>
      <c r="BU34" s="196" t="b">
        <f>IFERROR(IF(OR(NOT(DD34),LOWER(TRIM(W$20))=LOWER(TRIM(data2!$U$35))),TRUE,IF(AND(DD34,LOWER(TRIM(W$20))=LOWER(TRIM(data2!$U$36))),FALSE)),FALSE)</f>
        <v>1</v>
      </c>
      <c r="BV34" s="196" t="b">
        <f t="shared" si="20"/>
        <v>0</v>
      </c>
      <c r="BW34" s="196" t="b">
        <f>IFERROR(IF(OR(NOT(DF34),LOWER(TRIM(Y$20))=LOWER(TRIM(data2!$U$35))),TRUE,IF(AND(DF34,LOWER(TRIM(Y$20))=LOWER(TRIM(data2!$U$36))),FALSE)),FALSE)</f>
        <v>1</v>
      </c>
      <c r="BY34" s="154" t="str">
        <f t="shared" si="21"/>
        <v/>
      </c>
      <c r="BZ34" s="154" t="str">
        <f t="shared" si="22"/>
        <v/>
      </c>
      <c r="CA34" s="154" t="str">
        <f t="shared" si="23"/>
        <v/>
      </c>
      <c r="CB34" s="154" t="str">
        <f t="shared" si="24"/>
        <v>CE34:CI34</v>
      </c>
      <c r="CC34" s="154" t="str">
        <f t="shared" si="25"/>
        <v>CK34:CO34</v>
      </c>
      <c r="CD34" s="154" t="str">
        <f t="shared" si="26"/>
        <v>CQ34:CU34</v>
      </c>
      <c r="CE34" s="359" cm="1">
        <f t="array" ref="CE34">IFERROR(IF($BY34&lt;&gt;"",
IF(AND(teacher_type="R",career_stage="P"),
    IF(INDEX(RPS[[Outstanding]:[Poor]],MATCH($BY34,RPS[[helper]:[helper]],0),CE$19)&lt;&gt;"",CE$20,""),
IF(AND(teacher_type="R",career_stage="HP"),
    IF(INDEX(RHPS[[Outstanding]:[Poor]],MATCH($BY34,RHPS[[helper]:[helper]],0),CE$19)&lt;&gt;"",CE$20,""),
IF(AND(teacher_type="TB",career_stage="P"),
    IF(INDEX(TBPS[[Outstanding]:[Poor]],MATCH($BY34,TBPS[[helper]:[helper]],0),CE$19)&lt;&gt;"",CE$20,""),
IF(AND(teacher_type="TB",career_stage="HP"),
    IF(INDEX(TBHPS[[Outstanding]:[Poor]],MATCH($BY34,TBHPS[[helper]:[helper]],0),CE$19)&lt;&gt;"",CE$20,""),
CE$20)))),
CE$20),CE$20)</f>
        <v>5</v>
      </c>
      <c r="CF34" s="359" cm="1">
        <f t="array" ref="CF34">IFERROR(IF($BY34&lt;&gt;"",
IF(AND(teacher_type="R",career_stage="P"),
    IF(INDEX(RPS[[Outstanding]:[Poor]],MATCH($BY34,RPS[[helper]:[helper]],0),CF$19)&lt;&gt;"",CF$20,""),
IF(AND(teacher_type="R",career_stage="HP"),
    IF(INDEX(RHPS[[Outstanding]:[Poor]],MATCH($BY34,RHPS[[helper]:[helper]],0),CF$19)&lt;&gt;"",CF$20,""),
IF(AND(teacher_type="TB",career_stage="P"),
    IF(INDEX(TBPS[[Outstanding]:[Poor]],MATCH($BY34,TBPS[[helper]:[helper]],0),CF$19)&lt;&gt;"",CF$20,""),
IF(AND(teacher_type="TB",career_stage="HP"),
    IF(INDEX(TBHPS[[Outstanding]:[Poor]],MATCH($BY34,TBHPS[[helper]:[helper]],0),CF$19)&lt;&gt;"",CF$20,""),
CF$20)))),
CF$20),CF$20)</f>
        <v>4</v>
      </c>
      <c r="CG34" s="359" cm="1">
        <f t="array" ref="CG34">IFERROR(IF($BY34&lt;&gt;"",
IF(AND(teacher_type="R",career_stage="P"),
    IF(INDEX(RPS[[Outstanding]:[Poor]],MATCH($BY34,RPS[[helper]:[helper]],0),CG$19)&lt;&gt;"",CG$20,""),
IF(AND(teacher_type="R",career_stage="HP"),
    IF(INDEX(RHPS[[Outstanding]:[Poor]],MATCH($BY34,RHPS[[helper]:[helper]],0),CG$19)&lt;&gt;"",CG$20,""),
IF(AND(teacher_type="TB",career_stage="P"),
    IF(INDEX(TBPS[[Outstanding]:[Poor]],MATCH($BY34,TBPS[[helper]:[helper]],0),CG$19)&lt;&gt;"",CG$20,""),
IF(AND(teacher_type="TB",career_stage="HP"),
    IF(INDEX(TBHPS[[Outstanding]:[Poor]],MATCH($BY34,TBHPS[[helper]:[helper]],0),CG$19)&lt;&gt;"",CG$20,""),
CG$20)))),
CG$20),CG$20)</f>
        <v>3</v>
      </c>
      <c r="CH34" s="359" cm="1">
        <f t="array" ref="CH34">IFERROR(IF($BY34&lt;&gt;"",
IF(AND(teacher_type="R",career_stage="P"),
    IF(INDEX(RPS[[Outstanding]:[Poor]],MATCH($BY34,RPS[[helper]:[helper]],0),CH$19)&lt;&gt;"",CH$20,""),
IF(AND(teacher_type="R",career_stage="HP"),
    IF(INDEX(RHPS[[Outstanding]:[Poor]],MATCH($BY34,RHPS[[helper]:[helper]],0),CH$19)&lt;&gt;"",CH$20,""),
IF(AND(teacher_type="TB",career_stage="P"),
    IF(INDEX(TBPS[[Outstanding]:[Poor]],MATCH($BY34,TBPS[[helper]:[helper]],0),CH$19)&lt;&gt;"",CH$20,""),
IF(AND(teacher_type="TB",career_stage="HP"),
    IF(INDEX(TBHPS[[Outstanding]:[Poor]],MATCH($BY34,TBHPS[[helper]:[helper]],0),CH$19)&lt;&gt;"",CH$20,""),
CH$20)))),
CH$20),CH$20)</f>
        <v>2</v>
      </c>
      <c r="CI34" s="359" cm="1">
        <f t="array" ref="CI34">IFERROR(IF($BY34&lt;&gt;"",
IF(AND(teacher_type="R",career_stage="P"),
    IF(INDEX(RPS[[Outstanding]:[Poor]],MATCH($BY34,RPS[[helper]:[helper]],0),CI$19)&lt;&gt;"",CI$20,""),
IF(AND(teacher_type="R",career_stage="HP"),
    IF(INDEX(RHPS[[Outstanding]:[Poor]],MATCH($BY34,RHPS[[helper]:[helper]],0),CI$19)&lt;&gt;"",CI$20,""),
IF(AND(teacher_type="TB",career_stage="P"),
    IF(INDEX(TBPS[[Outstanding]:[Poor]],MATCH($BY34,TBPS[[helper]:[helper]],0),CI$19)&lt;&gt;"",CI$20,""),
IF(AND(teacher_type="TB",career_stage="HP"),
    IF(INDEX(TBHPS[[Outstanding]:[Poor]],MATCH($BY34,TBHPS[[helper]:[helper]],0),CI$19)&lt;&gt;"",CI$20,""),
CI$20)))),
CI$20),CI$20)</f>
        <v>1</v>
      </c>
      <c r="CJ34" s="360">
        <f t="shared" si="27"/>
        <v>5</v>
      </c>
      <c r="CK34" s="359" cm="1">
        <f t="array" ref="CK34">IFERROR(IF($BZ34&lt;&gt;"",
IF(AND(teacher_type="R",career_stage="P"),
    IF(INDEX(RPS[[Outstanding]:[Poor]],MATCH($BZ34,RPS[[helper]:[helper]],0),CK$19)&lt;&gt;"",CK$20,""),
IF(AND(teacher_type="R",career_stage="HP"),
    IF(INDEX(RHPS[[Outstanding]:[Poor]],MATCH($BZ34,RHPS[[helper]:[helper]],0),CK$19)&lt;&gt;"",CK$20,""),
IF(AND(teacher_type="TB",career_stage="P"),
    IF(INDEX(TBPS[[Outstanding]:[Poor]],MATCH($BZ34,TBPS[[helper]:[helper]],0),CK$19)&lt;&gt;"",CK$20,""),
IF(AND(teacher_type="TB",career_stage="HP"),
    IF(INDEX(TBHPS[[Outstanding]:[Poor]],MATCH($BZ34,TBHPS[[helper]:[helper]],0),CK$19)&lt;&gt;"",CK$20,""),
CK$20)))),
CK$20),CK$20)</f>
        <v>5</v>
      </c>
      <c r="CL34" s="359" cm="1">
        <f t="array" ref="CL34">IFERROR(IF($BZ34&lt;&gt;"",
IF(AND(teacher_type="R",career_stage="P"),
    IF(INDEX(RPS[[Outstanding]:[Poor]],MATCH($BZ34,RPS[[helper]:[helper]],0),CL$19)&lt;&gt;"",CL$20,""),
IF(AND(teacher_type="R",career_stage="HP"),
    IF(INDEX(RHPS[[Outstanding]:[Poor]],MATCH($BZ34,RHPS[[helper]:[helper]],0),CL$19)&lt;&gt;"",CL$20,""),
IF(AND(teacher_type="TB",career_stage="P"),
    IF(INDEX(TBPS[[Outstanding]:[Poor]],MATCH($BZ34,TBPS[[helper]:[helper]],0),CL$19)&lt;&gt;"",CL$20,""),
IF(AND(teacher_type="TB",career_stage="HP"),
    IF(INDEX(TBHPS[[Outstanding]:[Poor]],MATCH($BZ34,TBHPS[[helper]:[helper]],0),CL$19)&lt;&gt;"",CL$20,""),
CL$20)))),
CL$20),CL$20)</f>
        <v>4</v>
      </c>
      <c r="CM34" s="359" cm="1">
        <f t="array" ref="CM34">IFERROR(IF($BZ34&lt;&gt;"",
IF(AND(teacher_type="R",career_stage="P"),
    IF(INDEX(RPS[[Outstanding]:[Poor]],MATCH($BZ34,RPS[[helper]:[helper]],0),CM$19)&lt;&gt;"",CM$20,""),
IF(AND(teacher_type="R",career_stage="HP"),
    IF(INDEX(RHPS[[Outstanding]:[Poor]],MATCH($BZ34,RHPS[[helper]:[helper]],0),CM$19)&lt;&gt;"",CM$20,""),
IF(AND(teacher_type="TB",career_stage="P"),
    IF(INDEX(TBPS[[Outstanding]:[Poor]],MATCH($BZ34,TBPS[[helper]:[helper]],0),CM$19)&lt;&gt;"",CM$20,""),
IF(AND(teacher_type="TB",career_stage="HP"),
    IF(INDEX(TBHPS[[Outstanding]:[Poor]],MATCH($BZ34,TBHPS[[helper]:[helper]],0),CM$19)&lt;&gt;"",CM$20,""),
CM$20)))),
CM$20),CM$20)</f>
        <v>3</v>
      </c>
      <c r="CN34" s="359" cm="1">
        <f t="array" ref="CN34">IFERROR(IF($BZ34&lt;&gt;"",
IF(AND(teacher_type="R",career_stage="P"),
    IF(INDEX(RPS[[Outstanding]:[Poor]],MATCH($BZ34,RPS[[helper]:[helper]],0),CN$19)&lt;&gt;"",CN$20,""),
IF(AND(teacher_type="R",career_stage="HP"),
    IF(INDEX(RHPS[[Outstanding]:[Poor]],MATCH($BZ34,RHPS[[helper]:[helper]],0),CN$19)&lt;&gt;"",CN$20,""),
IF(AND(teacher_type="TB",career_stage="P"),
    IF(INDEX(TBPS[[Outstanding]:[Poor]],MATCH($BZ34,TBPS[[helper]:[helper]],0),CN$19)&lt;&gt;"",CN$20,""),
IF(AND(teacher_type="TB",career_stage="HP"),
    IF(INDEX(TBHPS[[Outstanding]:[Poor]],MATCH($BZ34,TBHPS[[helper]:[helper]],0),CN$19)&lt;&gt;"",CN$20,""),
CN$20)))),
CN$20),CN$20)</f>
        <v>2</v>
      </c>
      <c r="CO34" s="359" cm="1">
        <f t="array" ref="CO34">IFERROR(IF($BZ34&lt;&gt;"",
IF(AND(teacher_type="R",career_stage="P"),
    IF(INDEX(RPS[[Outstanding]:[Poor]],MATCH($BZ34,RPS[[helper]:[helper]],0),CO$19)&lt;&gt;"",CO$20,""),
IF(AND(teacher_type="R",career_stage="HP"),
    IF(INDEX(RHPS[[Outstanding]:[Poor]],MATCH($BZ34,RHPS[[helper]:[helper]],0),CO$19)&lt;&gt;"",CO$20,""),
IF(AND(teacher_type="TB",career_stage="P"),
    IF(INDEX(TBPS[[Outstanding]:[Poor]],MATCH($BZ34,TBPS[[helper]:[helper]],0),CO$19)&lt;&gt;"",CO$20,""),
IF(AND(teacher_type="TB",career_stage="HP"),
    IF(INDEX(TBHPS[[Outstanding]:[Poor]],MATCH($BZ34,TBHPS[[helper]:[helper]],0),CO$19)&lt;&gt;"",CO$20,""),
CO$20)))),
CO$20),CO$20)</f>
        <v>1</v>
      </c>
      <c r="CP34" s="360">
        <f t="shared" si="28"/>
        <v>5</v>
      </c>
      <c r="CQ34" s="359" cm="1">
        <f t="array" ref="CQ34">IFERROR(IF($CA34&lt;&gt;"",
IF(AND(teacher_type="R",career_stage="P"),
    IF(INDEX(RPS[[Outstanding]:[Poor]],MATCH($CA34,RPS[[helper]:[helper]],0),CQ$19)&lt;&gt;"",CQ$20,""),
IF(AND(teacher_type="R",career_stage="HP"),
    IF(INDEX(RHPS[[Outstanding]:[Poor]],MATCH($CA34,RHPS[[helper]:[helper]],0),CQ$19)&lt;&gt;"",CQ$20,""),
IF(AND(teacher_type="TB",career_stage="P"),
    IF(INDEX(TBPS[[Outstanding]:[Poor]],MATCH($CA34,TBPS[[helper]:[helper]],0),CQ$19)&lt;&gt;"",CQ$20,""),
IF(AND(teacher_type="TB",career_stage="HP"),
    IF(INDEX(TBHPS[[Outstanding]:[Poor]],MATCH($CA34,TBHPS[[helper]:[helper]],0),CQ$19)&lt;&gt;"",CQ$20,""),
CQ$20)))),
CQ$20),CQ$20)</f>
        <v>5</v>
      </c>
      <c r="CR34" s="359" cm="1">
        <f t="array" ref="CR34">IFERROR(IF($CA34&lt;&gt;"",
IF(AND(teacher_type="R",career_stage="P"),
    IF(INDEX(RPS[[Outstanding]:[Poor]],MATCH($CA34,RPS[[helper]:[helper]],0),CR$19)&lt;&gt;"",CR$20,""),
IF(AND(teacher_type="R",career_stage="HP"),
    IF(INDEX(RHPS[[Outstanding]:[Poor]],MATCH($CA34,RHPS[[helper]:[helper]],0),CR$19)&lt;&gt;"",CR$20,""),
IF(AND(teacher_type="TB",career_stage="P"),
    IF(INDEX(TBPS[[Outstanding]:[Poor]],MATCH($CA34,TBPS[[helper]:[helper]],0),CR$19)&lt;&gt;"",CR$20,""),
IF(AND(teacher_type="TB",career_stage="HP"),
    IF(INDEX(TBHPS[[Outstanding]:[Poor]],MATCH($CA34,TBHPS[[helper]:[helper]],0),CR$19)&lt;&gt;"",CR$20,""),
CR$20)))),
CR$20),CR$20)</f>
        <v>4</v>
      </c>
      <c r="CS34" s="359" cm="1">
        <f t="array" ref="CS34">IFERROR(IF($CA34&lt;&gt;"",
IF(AND(teacher_type="R",career_stage="P"),
    IF(INDEX(RPS[[Outstanding]:[Poor]],MATCH($CA34,RPS[[helper]:[helper]],0),CS$19)&lt;&gt;"",CS$20,""),
IF(AND(teacher_type="R",career_stage="HP"),
    IF(INDEX(RHPS[[Outstanding]:[Poor]],MATCH($CA34,RHPS[[helper]:[helper]],0),CS$19)&lt;&gt;"",CS$20,""),
IF(AND(teacher_type="TB",career_stage="P"),
    IF(INDEX(TBPS[[Outstanding]:[Poor]],MATCH($CA34,TBPS[[helper]:[helper]],0),CS$19)&lt;&gt;"",CS$20,""),
IF(AND(teacher_type="TB",career_stage="HP"),
    IF(INDEX(TBHPS[[Outstanding]:[Poor]],MATCH($CA34,TBHPS[[helper]:[helper]],0),CS$19)&lt;&gt;"",CS$20,""),
CS$20)))),
CS$20),CS$20)</f>
        <v>3</v>
      </c>
      <c r="CT34" s="359" cm="1">
        <f t="array" ref="CT34">IFERROR(IF($CA34&lt;&gt;"",
IF(AND(teacher_type="R",career_stage="P"),
    IF(INDEX(RPS[[Outstanding]:[Poor]],MATCH($CA34,RPS[[helper]:[helper]],0),CT$19)&lt;&gt;"",CT$20,""),
IF(AND(teacher_type="R",career_stage="HP"),
    IF(INDEX(RHPS[[Outstanding]:[Poor]],MATCH($CA34,RHPS[[helper]:[helper]],0),CT$19)&lt;&gt;"",CT$20,""),
IF(AND(teacher_type="TB",career_stage="P"),
    IF(INDEX(TBPS[[Outstanding]:[Poor]],MATCH($CA34,TBPS[[helper]:[helper]],0),CT$19)&lt;&gt;"",CT$20,""),
IF(AND(teacher_type="TB",career_stage="HP"),
    IF(INDEX(TBHPS[[Outstanding]:[Poor]],MATCH($CA34,TBHPS[[helper]:[helper]],0),CT$19)&lt;&gt;"",CT$20,""),
CT$20)))),
CT$20),CT$20)</f>
        <v>2</v>
      </c>
      <c r="CU34" s="359" cm="1">
        <f t="array" ref="CU34">IFERROR(IF($CA34&lt;&gt;"",
IF(AND(teacher_type="R",career_stage="P"),
    IF(INDEX(RPS[[Outstanding]:[Poor]],MATCH($CA34,RPS[[helper]:[helper]],0),CU$19)&lt;&gt;"",CU$20,""),
IF(AND(teacher_type="R",career_stage="HP"),
    IF(INDEX(RHPS[[Outstanding]:[Poor]],MATCH($CA34,RHPS[[helper]:[helper]],0),CU$19)&lt;&gt;"",CU$20,""),
IF(AND(teacher_type="TB",career_stage="P"),
    IF(INDEX(TBPS[[Outstanding]:[Poor]],MATCH($CA34,TBPS[[helper]:[helper]],0),CU$19)&lt;&gt;"",CU$20,""),
IF(AND(teacher_type="TB",career_stage="HP"),
    IF(INDEX(TBHPS[[Outstanding]:[Poor]],MATCH($CA34,TBHPS[[helper]:[helper]],0),CU$19)&lt;&gt;"",CU$20,""),
CU$20)))),
CU$20),CU$20)</f>
        <v>1</v>
      </c>
      <c r="CV34" s="360">
        <f t="shared" si="29"/>
        <v>5</v>
      </c>
      <c r="CY34" s="443" t="b" cm="1">
        <f t="array" ref="CY34">IFERROR(AND(S$12,IF(AND($G34,$D34="COI"),
IF(AND(teacher_type="R",career_stage="P"),VLOOKUP($BF34,RPI[],COLUMN(RPI[cot1]),FALSE),
IF(AND(teacher_type="R",career_stage="HP"),VLOOKUP($BF34,RHPI[],COLUMN(RHPI[cot1]),FALSE),
IF(AND(teacher_type="TB",career_stage="P"),VLOOKUP($BF34,TBPI[],COLUMN(TBPI[cot1]),FALSE),
IF(AND(teacher_type="TB",career_stage="HP"),VLOOKUP($BF34,TBHPI[],COLUMN(TBHPI[cot1]),FALSE),FALSE)))),
FALSE)),FALSE)</f>
        <v>0</v>
      </c>
      <c r="CZ34" s="443" t="b">
        <f t="shared" si="30"/>
        <v>0</v>
      </c>
      <c r="DA34" s="443" t="b" cm="1">
        <f t="array" ref="DA34">IFERROR(AND(U$12,IF(AND($G34,$D34="COI"),
IF(AND(teacher_type="R",career_stage="P"),VLOOKUP($BF34,RPI[],COLUMN(RPI[cot2]),FALSE),
IF(AND(teacher_type="R",career_stage="HP"),VLOOKUP($BF34,RHPI[],COLUMN(RHPI[cot2]),FALSE),
IF(AND(teacher_type="TB",career_stage="P"),VLOOKUP($BF34,TBPI[],COLUMN(TBPI[cot2]),FALSE),
IF(AND(teacher_type="TB",career_stage="HP"),VLOOKUP($BF34,TBHPI[],COLUMN(TBHPI[cot2]),FALSE),FALSE)))),
FALSE)),FALSE)</f>
        <v>0</v>
      </c>
      <c r="DB34" s="443" t="b">
        <f t="shared" si="31"/>
        <v>0</v>
      </c>
      <c r="DC34" s="443" t="b" cm="1">
        <f t="array" ref="DC34">IFERROR(AND(W$12,IF(AND($G34,$D34="COI"),
IF(AND(teacher_type="R",career_stage="P"),VLOOKUP($BF34,RPI[],COLUMN(RPI[cot3]),FALSE),
IF(AND(teacher_type="R",career_stage="HP"),VLOOKUP($BF34,RHPI[],COLUMN(RHPI[cot3]),FALSE),
IF(AND(teacher_type="TB",career_stage="P"),VLOOKUP($BF34,TBPI[],COLUMN(TBPI[cot3]),FALSE),
IF(AND(teacher_type="TB",career_stage="HP"),VLOOKUP($BF34,TBHPI[],COLUMN(TBHPI[cot3]),FALSE),FALSE)))),
FALSE)),FALSE)</f>
        <v>0</v>
      </c>
      <c r="DD34" s="443" t="b">
        <f t="shared" si="32"/>
        <v>0</v>
      </c>
      <c r="DE34" s="443" t="b" cm="1">
        <f t="array" ref="DE34">IFERROR(AND(Y$12,IF(AND($G34,$D34="COI"),
IF(AND(teacher_type="R",career_stage="P"),VLOOKUP($BF34,RPI[],COLUMN(RPI[cot4]),FALSE),
IF(AND(teacher_type="R",career_stage="HP"),VLOOKUP($BF34,RHPI[],COLUMN(RHPI[cot4]),FALSE),
IF(AND(teacher_type="TB",career_stage="P"),VLOOKUP($BF34,TBPI[],COLUMN(TBPI[cot4]),FALSE),
IF(AND(teacher_type="TB",career_stage="HP"),VLOOKUP($BF34,TBHPI[],COLUMN(TBHPI[cot4]),FALSE),FALSE)))),
FALSE)),FALSE)</f>
        <v>0</v>
      </c>
      <c r="DF34" s="443" t="b">
        <f t="shared" si="33"/>
        <v>0</v>
      </c>
      <c r="DG34" s="150">
        <f t="shared" si="34"/>
        <v>0</v>
      </c>
      <c r="DH34" s="154">
        <f>IF(AND(CY34,LOWER(TRIM(S$20))=LOWER(TRIM(data2!$U$35))),1,0) +
IF(AND(DA34,LOWER(TRIM(U$20))=LOWER(TRIM(data2!$U$35))),1,0) +
IF(AND(DC34,LOWER(TRIM(W$20))=LOWER(TRIM(data2!$U$35))),1,0) +
IF(AND(DE34,LOWER(TRIM(Y$20))=LOWER(TRIM(data2!$U$35))),1,0)</f>
        <v>0</v>
      </c>
      <c r="DJ34" s="154">
        <f t="shared" si="35"/>
        <v>0</v>
      </c>
    </row>
    <row r="35" spans="1:114" s="154" customFormat="1" ht="24.95" hidden="1" customHeight="1" x14ac:dyDescent="0.25">
      <c r="A35" s="156"/>
      <c r="B35" s="154">
        <v>14</v>
      </c>
      <c r="C35" s="150" t="str">
        <f>IFERROR(IF(AND(teacher_type="R",career_stage="P"),VLOOKUP(O35,RPI[],COLUMNS(RPI[[Strand]:[admin_selected_coi_ncoi]]),FALSE),IF(AND(teacher_type="R",career_stage="HP"),VLOOKUP(O35,RHPI[],COLUMNS(RHPI[[Strand]:[admin_selected_coi_ncoi]]),FALSE),IF(AND(teacher_type="TB",career_stage="P"),VLOOKUP(O35,TBPI[],COLUMNS(TBPI[[Strand]:[admin_selected_coi_ncoi]]),FALSE),IF(AND(teacher_type="TB",career_stage="HP"),VLOOKUP(O35,TBHPI[],COLUMNS(TBHPI[[Strand]:[admin_selected_coi_ncoi]]),FALSE),"NCOI")))),"NCOI")</f>
        <v>COI</v>
      </c>
      <c r="D35" s="150" t="str">
        <f t="shared" si="10"/>
        <v/>
      </c>
      <c r="E35" s="150">
        <f>IFERROR(IF(AND(teacher_type="R",career_stage="P"),VLOOKUP($O35,RPI[[Strand]:[Domain]],COLUMNS(RPI[[Strand]:[Domain]]),FALSE),IF(AND(teacher_type="R",career_stage="HP"),VLOOKUP($O35,RHPI[[Strand]:[Domain]],COLUMNS(RHPI[[Strand]:[Domain]]),FALSE),IF(AND(teacher_type="TB",career_stage="P"),VLOOKUP($O35,TBPI[[Strand]:[Domain]],COLUMNS(TBPI[[Strand]:[Domain]]),FALSE),IF(AND(teacher_type="TB",career_stage="HP"),VLOOKUP($O35,TBHPI[[Strand]:[Domain]],COLUMNS(TBHPI[[Strand]:[Domain]]),FALSE),"")))),"")</f>
        <v>2</v>
      </c>
      <c r="F35" s="155" t="b">
        <f>AND(COUNTIFS($E$22:$E35,E35,$G$22:$G35,TRUE)=1,$G35)</f>
        <v>0</v>
      </c>
      <c r="G35" s="212" t="b">
        <f>IFERROR(IF(AND(teacher_type="R",career_stage="P"),VLOOKUP($O35,RPI[],COLUMNS(RPI[[Strand]:[Selected]]),FALSE),IF(AND(teacher_type="R",career_stage="HP"),VLOOKUP($O35,RHPI[],COLUMNS(RHPI[[Strand]:[Selected]]),FALSE),IF(AND(teacher_type="TB",career_stage="P"),VLOOKUP($O35,TBPI[],COLUMNS(TBPI[[Strand]:[Selected]]),FALSE),IF(AND(teacher_type="TB",career_stage="HP"),VLOOKUP($O35,TBHPI[],COLUMNS(TBHPI[[Strand]:[Selected]]),FALSE),FALSE)))),FALSE)</f>
        <v>0</v>
      </c>
      <c r="H35" s="156" t="b">
        <f>IFERROR(IF(AND(teacher_type="R",career_stage="P"),AND(COUNTIFS(RPS[Strand],$O35,RPS[QET],H$21)&gt;0,$G35),IF(AND(teacher_type="R",career_stage="HP"),AND(COUNTIFS(RHPS[Strand],$O35,RHPS[QET],H$21)&gt;0,$G35),IF(AND(teacher_type="TB",career_stage="P"),AND(COUNTIFS(TBPS[Strand],$O35,TBPS[QET],H$21)&gt;0,$G35),IF(AND(teacher_type="TB",career_stage="HP"),AND(COUNTIFS(TBHPS[Strand],$O35,TBHPS[QET],H$21)&gt;0,$G35),FALSE)))),FALSE)</f>
        <v>0</v>
      </c>
      <c r="I35" s="156" t="b">
        <f t="shared" si="11"/>
        <v>0</v>
      </c>
      <c r="J35" s="156" t="b">
        <f>IFERROR(IF(AND(teacher_type="R",career_stage="P"),AND(COUNTIFS(RPS[Strand],$O35,RPS[QET],J$21)&gt;0,$G35),IF(AND(teacher_type="R",career_stage="HP"),AND(COUNTIFS(RHPS[Strand],$O35,RHPS[QET],J$21)&gt;0,$G35),IF(AND(teacher_type="TB",career_stage="P"),AND(COUNTIFS(TBPS[Strand],$O35,TBPS[QET],J$21)&gt;0,$G35),IF(AND(teacher_type="TB",career_stage="HP"),AND(COUNTIFS(TBHPS[Strand],$O35,TBHPS[QET],J$21)&gt;0,$G35),FALSE)))),FALSE)</f>
        <v>0</v>
      </c>
      <c r="K35" s="156" t="b">
        <f>IFERROR(IF(AND(teacher_type="R",career_stage="P"),AND(COUNTIFS(RPS[Strand],$O35,RPS[QET],K$21)&gt;0,$G35),IF(AND(teacher_type="R",career_stage="HP"),AND(COUNTIFS(RHPS[Strand],$O35,RHPS[QET],K$21)&gt;0,$G35),IF(AND(teacher_type="TB",career_stage="P"),AND(COUNTIFS(TBPS[Strand],$O35,TBPS[QET],K$21)&gt;0,$G35),IF(AND(teacher_type="TB",career_stage="HP"),AND(COUNTIFS(TBHPS[Strand],$O35,TBHPS[QET],K$21)&gt;0,$G35),FALSE)))),FALSE)</f>
        <v>0</v>
      </c>
      <c r="L35" s="156" t="b">
        <f t="shared" si="12"/>
        <v>0</v>
      </c>
      <c r="M35" s="165" t="str">
        <f t="shared" si="13"/>
        <v/>
      </c>
      <c r="N35" s="48" t="str">
        <f>IF($G35,COUNTIF($G$22:$G35,TRUE),"")</f>
        <v/>
      </c>
      <c r="O35" s="48" t="str" cm="1">
        <f t="array" ref="O35">IFERROR(IF(AND(teacher_type="R",career_stage="P"),INDEX(RPI[Strand],$B35),IF(AND(teacher_type="R",career_stage="HP"),INDEX(RHPI[Strand],$B35),IF(AND(teacher_type="TB",career_stage="P"),INDEX(TBPI[Strand],$B35),IF(AND(teacher_type="TB",career_stage="HP"),INDEX(TBHPI[Strand],$B35),"")))),"")</f>
        <v>3.1.2</v>
      </c>
      <c r="P35" s="166" t="str">
        <f>$C$35</f>
        <v>COI</v>
      </c>
      <c r="Q35" s="167">
        <f>IFERROR(IF(AND(teacher_type="R",career_stage="P"),VLOOKUP(O35,RPI[],COLUMNS(RPI[[Strand]:[Weight]]),FALSE), IF(AND(teacher_type="R",career_stage="HP"),VLOOKUP(O35,RHPI[],COLUMNS(RHPI[[Strand]:[Weight]]),FALSE), IF(AND(teacher_type="TB",career_stage="P"),VLOOKUP(O35,TBPI[],COLUMNS(TBPI[[Strand]:[Weight]]),FALSE), IF(AND(teacher_type="TB",career_stage="HP"),VLOOKUP(O35,TBHPI[],COLUMNS(TBHPI[[Strand]:[Weight]]),FALSE),0)))),0)</f>
        <v>0</v>
      </c>
      <c r="R35" s="168">
        <f>COUNTIFS($D$22:D35,"COI",$G$22:G35,TRUE)</f>
        <v>6</v>
      </c>
      <c r="S35" s="483"/>
      <c r="T35" s="169" t="str">
        <f>IFERROR(IF(LOWER(TRIM(S$20))=LOWER(TRIM(data2!$U$35)),"",IF(AND($G35,$D35="COI",S$12,CZ35),IF(OR(LOWER(TRIM(S$20))=LOWER(TRIM(data2!$U$36)),ISBLANK(S35)),1,IF(career_stage="P",VLOOKUP(S35,P_COT_vlookup,2,FALSE),IF(career_stage="HP",VLOOKUP(S35,HP_COT_vlookup,2,FALSE),""))),"")),"")</f>
        <v/>
      </c>
      <c r="U35" s="489"/>
      <c r="V35" s="170" t="str">
        <f>IFERROR(IF(LOWER(TRIM(U$20))=LOWER(TRIM(data2!$U$35)),"",IF(AND($G35,$D35="COI",U$12,DB35),IF(OR(LOWER(TRIM(U$20))=LOWER(TRIM(data2!$U$36)),ISBLANK(U35)),1,IF(career_stage="P",VLOOKUP(U35,P_COT_vlookup,2,FALSE),IF(career_stage="HP",VLOOKUP(U35,HP_COT_vlookup,2,FALSE),""))),"")),"")</f>
        <v/>
      </c>
      <c r="W35" s="483"/>
      <c r="X35" s="169" t="str">
        <f>IFERROR(IF(LOWER(TRIM(W$20))=LOWER(TRIM(data2!$U$35)),"",IF(AND($G35,$D35="COI",W$12,DD35),IF(OR(LOWER(TRIM(W$20))=LOWER(TRIM(data2!$U$36)),ISBLANK(W35)),1,IF(career_stage="P",VLOOKUP(W35,P_COT_vlookup,2,FALSE),IF(career_stage="HP",VLOOKUP(W35,HP_COT_vlookup,2,FALSE),""))),"")),"")</f>
        <v/>
      </c>
      <c r="Y35" s="489"/>
      <c r="Z35" s="170" t="str">
        <f>IFERROR(IF(LOWER(TRIM(Y$20))=LOWER(TRIM(data2!$U$35)),"",IF(AND($G35,$D35="COI",Y$12,DF35),IF(OR(LOWER(TRIM(Y$20))=LOWER(TRIM(data2!$U$36)),ISBLANK(Y35)),1,IF(career_stage="P",VLOOKUP(Y35,P_COT_vlookup,2,FALSE),IF(career_stage="HP",VLOOKUP(Y35,HP_COT_vlookup,2,FALSE),""))),"")),"")</f>
        <v/>
      </c>
      <c r="AA35" s="171">
        <f t="shared" si="14"/>
        <v>0</v>
      </c>
      <c r="AB35" s="471"/>
      <c r="AC35" s="473"/>
      <c r="AD35" s="473"/>
      <c r="AE35" s="49">
        <f t="shared" si="2"/>
        <v>0</v>
      </c>
      <c r="AF35" s="49">
        <f t="shared" si="3"/>
        <v>0</v>
      </c>
      <c r="AG35" s="172" t="str">
        <f t="shared" si="4"/>
        <v>Poor</v>
      </c>
      <c r="AI35" s="196" t="b">
        <f t="shared" si="5"/>
        <v>1</v>
      </c>
      <c r="AJ35" s="154" t="b">
        <v>1</v>
      </c>
      <c r="AK35" s="154" t="b">
        <v>1</v>
      </c>
      <c r="AL35" s="196" t="b">
        <f t="shared" si="15"/>
        <v>1</v>
      </c>
      <c r="AM35" s="154" t="b">
        <v>1</v>
      </c>
      <c r="AN35" s="196" t="b">
        <f t="shared" si="15"/>
        <v>1</v>
      </c>
      <c r="AO35" s="154" t="b">
        <v>1</v>
      </c>
      <c r="AP35" s="196" t="b">
        <f t="shared" si="15"/>
        <v>1</v>
      </c>
      <c r="AQ35" s="154" t="b">
        <v>1</v>
      </c>
      <c r="AR35" s="196" t="b">
        <f t="shared" si="15"/>
        <v>1</v>
      </c>
      <c r="AS35" s="154" t="b">
        <v>1</v>
      </c>
      <c r="AT35" s="154" t="b">
        <v>1</v>
      </c>
      <c r="AU35" s="196" t="b">
        <f t="shared" si="6"/>
        <v>1</v>
      </c>
      <c r="AV35" s="196" t="b">
        <f t="shared" si="7"/>
        <v>1</v>
      </c>
      <c r="AW35" s="196" t="b">
        <f t="shared" si="8"/>
        <v>1</v>
      </c>
      <c r="AX35" s="47" t="b">
        <v>1</v>
      </c>
      <c r="AY35" s="47" t="b">
        <v>1</v>
      </c>
      <c r="AZ35" s="47" t="b">
        <v>1</v>
      </c>
      <c r="BF35" s="154" t="str">
        <f t="shared" si="9"/>
        <v>3.1.2</v>
      </c>
      <c r="BG35" s="196" t="b" cm="1">
        <f t="array" ref="BG35">IFERROR(IF(OR(LOWER(TRIM(S$20))=LOWER(TRIM(data2!$U$35)),LOWER(TRIM(S$20))=LOWER(TRIM(data2!$U$36))),FALSE,AND(S$12,IF(AND($G35,$D35="COI"),
IF(AND(teacher_type="R",career_stage="P"),VLOOKUP($BF35,RPI[],COLUMN(RPI[cot1]),FALSE),
IF(AND(teacher_type="R",career_stage="HP"),VLOOKUP($BF35,RHPI[],COLUMN(RHPI[cot1]),FALSE),
IF(AND(teacher_type="TB",career_stage="P"),VLOOKUP($BF35,TBPI[],COLUMN(TBPI[cot1]),FALSE),
IF(AND(teacher_type="TB",career_stage="HP"),VLOOKUP($BF35,TBHPI[],COLUMN(TBHPI[cot1]),FALSE),FALSE)))),
FALSE))),FALSE)</f>
        <v>0</v>
      </c>
      <c r="BH35" s="154" t="b">
        <v>0</v>
      </c>
      <c r="BI35" s="196" t="b" cm="1">
        <f t="array" ref="BI35">IFERROR(IF(OR(LOWER(TRIM(U$20))=LOWER(TRIM(data2!$U$35)),LOWER(TRIM(U$20))=LOWER(TRIM(data2!$U$36))),FALSE,AND(U$12,IF(AND($G35,$D35="COI"),
IF(AND(teacher_type="R",career_stage="P"),VLOOKUP($BF35,RPI[],COLUMN(RPI[cot2]),FALSE),
IF(AND(teacher_type="R",career_stage="HP"),VLOOKUP($BF35,RHPI[],COLUMN(RHPI[cot2]),FALSE),
IF(AND(teacher_type="TB",career_stage="P"),VLOOKUP($BF35,TBPI[],COLUMN(TBPI[cot2]),FALSE),
IF(AND(teacher_type="TB",career_stage="HP"),VLOOKUP($BF35,TBHPI[],COLUMN(TBHPI[cot2]),FALSE),FALSE)))),
FALSE))),FALSE)</f>
        <v>0</v>
      </c>
      <c r="BJ35" s="154" t="b">
        <v>0</v>
      </c>
      <c r="BK35" s="196" t="b" cm="1">
        <f t="array" ref="BK35">IFERROR(IF(OR(LOWER(TRIM(W$20))=LOWER(TRIM(data2!$U$35)),LOWER(TRIM(W$20))=LOWER(TRIM(data2!$U$36))),FALSE,AND(W$12,IF(AND($G35,$D35="COI"),
IF(AND(teacher_type="R",career_stage="P"),VLOOKUP($BF35,RPI[],COLUMN(RPI[cot3]),FALSE),
IF(AND(teacher_type="R",career_stage="HP"),VLOOKUP($BF35,RHPI[],COLUMN(RHPI[cot3]),FALSE),
IF(AND(teacher_type="TB",career_stage="P"),VLOOKUP($BF35,TBPI[],COLUMN(TBPI[cot3]),FALSE),
IF(AND(teacher_type="TB",career_stage="HP"),VLOOKUP($BF35,TBHPI[],COLUMN(TBHPI[cot3]),FALSE),FALSE)))),
FALSE))),FALSE)</f>
        <v>0</v>
      </c>
      <c r="BL35" s="154" t="b">
        <v>0</v>
      </c>
      <c r="BM35" s="196" t="b" cm="1">
        <f t="array" ref="BM35">IFERROR(IF(OR(LOWER(TRIM(Y$20))=LOWER(TRIM(data2!$U$35)),LOWER(TRIM(Y$20))=LOWER(TRIM(data2!$U$36))),FALSE,AND(Y$12,IF(AND($G35,$D35="COI"),
IF(AND(teacher_type="R",career_stage="P"),VLOOKUP($BF35,RPI[],COLUMN(RPI[cot4]),FALSE),
IF(AND(teacher_type="R",career_stage="HP"),VLOOKUP($BF35,RHPI[],COLUMN(RHPI[cot4]),FALSE),
IF(AND(teacher_type="TB",career_stage="P"),VLOOKUP($BF35,TBPI[],COLUMN(TBPI[cot4]),FALSE),
IF(AND(teacher_type="TB",career_stage="HP"),VLOOKUP($BF35,TBHPI[],COLUMN(TBHPI[cot4]),FALSE),FALSE)))),
FALSE))),FALSE)</f>
        <v>0</v>
      </c>
      <c r="BN35" s="154" t="b">
        <v>0</v>
      </c>
      <c r="BO35" s="150">
        <f t="shared" si="16"/>
        <v>0</v>
      </c>
      <c r="BP35" s="196" t="b">
        <f t="shared" si="17"/>
        <v>0</v>
      </c>
      <c r="BQ35" s="196" t="b">
        <f>IFERROR(IF(OR(NOT(CZ35),LOWER(TRIM(S$20))=LOWER(TRIM(data2!$U$35))),TRUE,IF(AND(CZ35,LOWER(TRIM(S$20))=LOWER(TRIM(data2!$U$36))),FALSE)),FALSE)</f>
        <v>1</v>
      </c>
      <c r="BR35" s="196" t="b">
        <f t="shared" si="18"/>
        <v>0</v>
      </c>
      <c r="BS35" s="196" t="b">
        <f>IFERROR(IF(OR(NOT(DB35),LOWER(TRIM(U$20))=LOWER(TRIM(data2!$U$35))),TRUE,IF(AND(DB35,LOWER(TRIM(U$20))=LOWER(TRIM(data2!$U$36))),FALSE)),FALSE)</f>
        <v>1</v>
      </c>
      <c r="BT35" s="196" t="b">
        <f t="shared" si="19"/>
        <v>0</v>
      </c>
      <c r="BU35" s="196" t="b">
        <f>IFERROR(IF(OR(NOT(DD35),LOWER(TRIM(W$20))=LOWER(TRIM(data2!$U$35))),TRUE,IF(AND(DD35,LOWER(TRIM(W$20))=LOWER(TRIM(data2!$U$36))),FALSE)),FALSE)</f>
        <v>1</v>
      </c>
      <c r="BV35" s="196" t="b">
        <f t="shared" si="20"/>
        <v>0</v>
      </c>
      <c r="BW35" s="196" t="b">
        <f>IFERROR(IF(OR(NOT(DF35),LOWER(TRIM(Y$20))=LOWER(TRIM(data2!$U$35))),TRUE,IF(AND(DF35,LOWER(TRIM(Y$20))=LOWER(TRIM(data2!$U$36))),FALSE)),FALSE)</f>
        <v>1</v>
      </c>
      <c r="BY35" s="154" t="str">
        <f t="shared" si="21"/>
        <v/>
      </c>
      <c r="BZ35" s="154" t="str">
        <f t="shared" si="22"/>
        <v/>
      </c>
      <c r="CA35" s="154" t="str">
        <f t="shared" si="23"/>
        <v/>
      </c>
      <c r="CB35" s="154" t="str">
        <f t="shared" si="24"/>
        <v>CE35:CI35</v>
      </c>
      <c r="CC35" s="154" t="str">
        <f t="shared" si="25"/>
        <v>CK35:CO35</v>
      </c>
      <c r="CD35" s="154" t="str">
        <f t="shared" si="26"/>
        <v>CQ35:CU35</v>
      </c>
      <c r="CE35" s="359" cm="1">
        <f t="array" ref="CE35">IFERROR(IF($BY35&lt;&gt;"",
IF(AND(teacher_type="R",career_stage="P"),
    IF(INDEX(RPS[[Outstanding]:[Poor]],MATCH($BY35,RPS[[helper]:[helper]],0),CE$19)&lt;&gt;"",CE$20,""),
IF(AND(teacher_type="R",career_stage="HP"),
    IF(INDEX(RHPS[[Outstanding]:[Poor]],MATCH($BY35,RHPS[[helper]:[helper]],0),CE$19)&lt;&gt;"",CE$20,""),
IF(AND(teacher_type="TB",career_stage="P"),
    IF(INDEX(TBPS[[Outstanding]:[Poor]],MATCH($BY35,TBPS[[helper]:[helper]],0),CE$19)&lt;&gt;"",CE$20,""),
IF(AND(teacher_type="TB",career_stage="HP"),
    IF(INDEX(TBHPS[[Outstanding]:[Poor]],MATCH($BY35,TBHPS[[helper]:[helper]],0),CE$19)&lt;&gt;"",CE$20,""),
CE$20)))),
CE$20),CE$20)</f>
        <v>5</v>
      </c>
      <c r="CF35" s="359" cm="1">
        <f t="array" ref="CF35">IFERROR(IF($BY35&lt;&gt;"",
IF(AND(teacher_type="R",career_stage="P"),
    IF(INDEX(RPS[[Outstanding]:[Poor]],MATCH($BY35,RPS[[helper]:[helper]],0),CF$19)&lt;&gt;"",CF$20,""),
IF(AND(teacher_type="R",career_stage="HP"),
    IF(INDEX(RHPS[[Outstanding]:[Poor]],MATCH($BY35,RHPS[[helper]:[helper]],0),CF$19)&lt;&gt;"",CF$20,""),
IF(AND(teacher_type="TB",career_stage="P"),
    IF(INDEX(TBPS[[Outstanding]:[Poor]],MATCH($BY35,TBPS[[helper]:[helper]],0),CF$19)&lt;&gt;"",CF$20,""),
IF(AND(teacher_type="TB",career_stage="HP"),
    IF(INDEX(TBHPS[[Outstanding]:[Poor]],MATCH($BY35,TBHPS[[helper]:[helper]],0),CF$19)&lt;&gt;"",CF$20,""),
CF$20)))),
CF$20),CF$20)</f>
        <v>4</v>
      </c>
      <c r="CG35" s="359" cm="1">
        <f t="array" ref="CG35">IFERROR(IF($BY35&lt;&gt;"",
IF(AND(teacher_type="R",career_stage="P"),
    IF(INDEX(RPS[[Outstanding]:[Poor]],MATCH($BY35,RPS[[helper]:[helper]],0),CG$19)&lt;&gt;"",CG$20,""),
IF(AND(teacher_type="R",career_stage="HP"),
    IF(INDEX(RHPS[[Outstanding]:[Poor]],MATCH($BY35,RHPS[[helper]:[helper]],0),CG$19)&lt;&gt;"",CG$20,""),
IF(AND(teacher_type="TB",career_stage="P"),
    IF(INDEX(TBPS[[Outstanding]:[Poor]],MATCH($BY35,TBPS[[helper]:[helper]],0),CG$19)&lt;&gt;"",CG$20,""),
IF(AND(teacher_type="TB",career_stage="HP"),
    IF(INDEX(TBHPS[[Outstanding]:[Poor]],MATCH($BY35,TBHPS[[helper]:[helper]],0),CG$19)&lt;&gt;"",CG$20,""),
CG$20)))),
CG$20),CG$20)</f>
        <v>3</v>
      </c>
      <c r="CH35" s="359" cm="1">
        <f t="array" ref="CH35">IFERROR(IF($BY35&lt;&gt;"",
IF(AND(teacher_type="R",career_stage="P"),
    IF(INDEX(RPS[[Outstanding]:[Poor]],MATCH($BY35,RPS[[helper]:[helper]],0),CH$19)&lt;&gt;"",CH$20,""),
IF(AND(teacher_type="R",career_stage="HP"),
    IF(INDEX(RHPS[[Outstanding]:[Poor]],MATCH($BY35,RHPS[[helper]:[helper]],0),CH$19)&lt;&gt;"",CH$20,""),
IF(AND(teacher_type="TB",career_stage="P"),
    IF(INDEX(TBPS[[Outstanding]:[Poor]],MATCH($BY35,TBPS[[helper]:[helper]],0),CH$19)&lt;&gt;"",CH$20,""),
IF(AND(teacher_type="TB",career_stage="HP"),
    IF(INDEX(TBHPS[[Outstanding]:[Poor]],MATCH($BY35,TBHPS[[helper]:[helper]],0),CH$19)&lt;&gt;"",CH$20,""),
CH$20)))),
CH$20),CH$20)</f>
        <v>2</v>
      </c>
      <c r="CI35" s="359" cm="1">
        <f t="array" ref="CI35">IFERROR(IF($BY35&lt;&gt;"",
IF(AND(teacher_type="R",career_stage="P"),
    IF(INDEX(RPS[[Outstanding]:[Poor]],MATCH($BY35,RPS[[helper]:[helper]],0),CI$19)&lt;&gt;"",CI$20,""),
IF(AND(teacher_type="R",career_stage="HP"),
    IF(INDEX(RHPS[[Outstanding]:[Poor]],MATCH($BY35,RHPS[[helper]:[helper]],0),CI$19)&lt;&gt;"",CI$20,""),
IF(AND(teacher_type="TB",career_stage="P"),
    IF(INDEX(TBPS[[Outstanding]:[Poor]],MATCH($BY35,TBPS[[helper]:[helper]],0),CI$19)&lt;&gt;"",CI$20,""),
IF(AND(teacher_type="TB",career_stage="HP"),
    IF(INDEX(TBHPS[[Outstanding]:[Poor]],MATCH($BY35,TBHPS[[helper]:[helper]],0),CI$19)&lt;&gt;"",CI$20,""),
CI$20)))),
CI$20),CI$20)</f>
        <v>1</v>
      </c>
      <c r="CJ35" s="360">
        <f t="shared" si="27"/>
        <v>5</v>
      </c>
      <c r="CK35" s="359" cm="1">
        <f t="array" ref="CK35">IFERROR(IF($BZ35&lt;&gt;"",
IF(AND(teacher_type="R",career_stage="P"),
    IF(INDEX(RPS[[Outstanding]:[Poor]],MATCH($BZ35,RPS[[helper]:[helper]],0),CK$19)&lt;&gt;"",CK$20,""),
IF(AND(teacher_type="R",career_stage="HP"),
    IF(INDEX(RHPS[[Outstanding]:[Poor]],MATCH($BZ35,RHPS[[helper]:[helper]],0),CK$19)&lt;&gt;"",CK$20,""),
IF(AND(teacher_type="TB",career_stage="P"),
    IF(INDEX(TBPS[[Outstanding]:[Poor]],MATCH($BZ35,TBPS[[helper]:[helper]],0),CK$19)&lt;&gt;"",CK$20,""),
IF(AND(teacher_type="TB",career_stage="HP"),
    IF(INDEX(TBHPS[[Outstanding]:[Poor]],MATCH($BZ35,TBHPS[[helper]:[helper]],0),CK$19)&lt;&gt;"",CK$20,""),
CK$20)))),
CK$20),CK$20)</f>
        <v>5</v>
      </c>
      <c r="CL35" s="359" cm="1">
        <f t="array" ref="CL35">IFERROR(IF($BZ35&lt;&gt;"",
IF(AND(teacher_type="R",career_stage="P"),
    IF(INDEX(RPS[[Outstanding]:[Poor]],MATCH($BZ35,RPS[[helper]:[helper]],0),CL$19)&lt;&gt;"",CL$20,""),
IF(AND(teacher_type="R",career_stage="HP"),
    IF(INDEX(RHPS[[Outstanding]:[Poor]],MATCH($BZ35,RHPS[[helper]:[helper]],0),CL$19)&lt;&gt;"",CL$20,""),
IF(AND(teacher_type="TB",career_stage="P"),
    IF(INDEX(TBPS[[Outstanding]:[Poor]],MATCH($BZ35,TBPS[[helper]:[helper]],0),CL$19)&lt;&gt;"",CL$20,""),
IF(AND(teacher_type="TB",career_stage="HP"),
    IF(INDEX(TBHPS[[Outstanding]:[Poor]],MATCH($BZ35,TBHPS[[helper]:[helper]],0),CL$19)&lt;&gt;"",CL$20,""),
CL$20)))),
CL$20),CL$20)</f>
        <v>4</v>
      </c>
      <c r="CM35" s="359" cm="1">
        <f t="array" ref="CM35">IFERROR(IF($BZ35&lt;&gt;"",
IF(AND(teacher_type="R",career_stage="P"),
    IF(INDEX(RPS[[Outstanding]:[Poor]],MATCH($BZ35,RPS[[helper]:[helper]],0),CM$19)&lt;&gt;"",CM$20,""),
IF(AND(teacher_type="R",career_stage="HP"),
    IF(INDEX(RHPS[[Outstanding]:[Poor]],MATCH($BZ35,RHPS[[helper]:[helper]],0),CM$19)&lt;&gt;"",CM$20,""),
IF(AND(teacher_type="TB",career_stage="P"),
    IF(INDEX(TBPS[[Outstanding]:[Poor]],MATCH($BZ35,TBPS[[helper]:[helper]],0),CM$19)&lt;&gt;"",CM$20,""),
IF(AND(teacher_type="TB",career_stage="HP"),
    IF(INDEX(TBHPS[[Outstanding]:[Poor]],MATCH($BZ35,TBHPS[[helper]:[helper]],0),CM$19)&lt;&gt;"",CM$20,""),
CM$20)))),
CM$20),CM$20)</f>
        <v>3</v>
      </c>
      <c r="CN35" s="359" cm="1">
        <f t="array" ref="CN35">IFERROR(IF($BZ35&lt;&gt;"",
IF(AND(teacher_type="R",career_stage="P"),
    IF(INDEX(RPS[[Outstanding]:[Poor]],MATCH($BZ35,RPS[[helper]:[helper]],0),CN$19)&lt;&gt;"",CN$20,""),
IF(AND(teacher_type="R",career_stage="HP"),
    IF(INDEX(RHPS[[Outstanding]:[Poor]],MATCH($BZ35,RHPS[[helper]:[helper]],0),CN$19)&lt;&gt;"",CN$20,""),
IF(AND(teacher_type="TB",career_stage="P"),
    IF(INDEX(TBPS[[Outstanding]:[Poor]],MATCH($BZ35,TBPS[[helper]:[helper]],0),CN$19)&lt;&gt;"",CN$20,""),
IF(AND(teacher_type="TB",career_stage="HP"),
    IF(INDEX(TBHPS[[Outstanding]:[Poor]],MATCH($BZ35,TBHPS[[helper]:[helper]],0),CN$19)&lt;&gt;"",CN$20,""),
CN$20)))),
CN$20),CN$20)</f>
        <v>2</v>
      </c>
      <c r="CO35" s="359" cm="1">
        <f t="array" ref="CO35">IFERROR(IF($BZ35&lt;&gt;"",
IF(AND(teacher_type="R",career_stage="P"),
    IF(INDEX(RPS[[Outstanding]:[Poor]],MATCH($BZ35,RPS[[helper]:[helper]],0),CO$19)&lt;&gt;"",CO$20,""),
IF(AND(teacher_type="R",career_stage="HP"),
    IF(INDEX(RHPS[[Outstanding]:[Poor]],MATCH($BZ35,RHPS[[helper]:[helper]],0),CO$19)&lt;&gt;"",CO$20,""),
IF(AND(teacher_type="TB",career_stage="P"),
    IF(INDEX(TBPS[[Outstanding]:[Poor]],MATCH($BZ35,TBPS[[helper]:[helper]],0),CO$19)&lt;&gt;"",CO$20,""),
IF(AND(teacher_type="TB",career_stage="HP"),
    IF(INDEX(TBHPS[[Outstanding]:[Poor]],MATCH($BZ35,TBHPS[[helper]:[helper]],0),CO$19)&lt;&gt;"",CO$20,""),
CO$20)))),
CO$20),CO$20)</f>
        <v>1</v>
      </c>
      <c r="CP35" s="360">
        <f t="shared" si="28"/>
        <v>5</v>
      </c>
      <c r="CQ35" s="359" cm="1">
        <f t="array" ref="CQ35">IFERROR(IF($CA35&lt;&gt;"",
IF(AND(teacher_type="R",career_stage="P"),
    IF(INDEX(RPS[[Outstanding]:[Poor]],MATCH($CA35,RPS[[helper]:[helper]],0),CQ$19)&lt;&gt;"",CQ$20,""),
IF(AND(teacher_type="R",career_stage="HP"),
    IF(INDEX(RHPS[[Outstanding]:[Poor]],MATCH($CA35,RHPS[[helper]:[helper]],0),CQ$19)&lt;&gt;"",CQ$20,""),
IF(AND(teacher_type="TB",career_stage="P"),
    IF(INDEX(TBPS[[Outstanding]:[Poor]],MATCH($CA35,TBPS[[helper]:[helper]],0),CQ$19)&lt;&gt;"",CQ$20,""),
IF(AND(teacher_type="TB",career_stage="HP"),
    IF(INDEX(TBHPS[[Outstanding]:[Poor]],MATCH($CA35,TBHPS[[helper]:[helper]],0),CQ$19)&lt;&gt;"",CQ$20,""),
CQ$20)))),
CQ$20),CQ$20)</f>
        <v>5</v>
      </c>
      <c r="CR35" s="359" cm="1">
        <f t="array" ref="CR35">IFERROR(IF($CA35&lt;&gt;"",
IF(AND(teacher_type="R",career_stage="P"),
    IF(INDEX(RPS[[Outstanding]:[Poor]],MATCH($CA35,RPS[[helper]:[helper]],0),CR$19)&lt;&gt;"",CR$20,""),
IF(AND(teacher_type="R",career_stage="HP"),
    IF(INDEX(RHPS[[Outstanding]:[Poor]],MATCH($CA35,RHPS[[helper]:[helper]],0),CR$19)&lt;&gt;"",CR$20,""),
IF(AND(teacher_type="TB",career_stage="P"),
    IF(INDEX(TBPS[[Outstanding]:[Poor]],MATCH($CA35,TBPS[[helper]:[helper]],0),CR$19)&lt;&gt;"",CR$20,""),
IF(AND(teacher_type="TB",career_stage="HP"),
    IF(INDEX(TBHPS[[Outstanding]:[Poor]],MATCH($CA35,TBHPS[[helper]:[helper]],0),CR$19)&lt;&gt;"",CR$20,""),
CR$20)))),
CR$20),CR$20)</f>
        <v>4</v>
      </c>
      <c r="CS35" s="359" cm="1">
        <f t="array" ref="CS35">IFERROR(IF($CA35&lt;&gt;"",
IF(AND(teacher_type="R",career_stage="P"),
    IF(INDEX(RPS[[Outstanding]:[Poor]],MATCH($CA35,RPS[[helper]:[helper]],0),CS$19)&lt;&gt;"",CS$20,""),
IF(AND(teacher_type="R",career_stage="HP"),
    IF(INDEX(RHPS[[Outstanding]:[Poor]],MATCH($CA35,RHPS[[helper]:[helper]],0),CS$19)&lt;&gt;"",CS$20,""),
IF(AND(teacher_type="TB",career_stage="P"),
    IF(INDEX(TBPS[[Outstanding]:[Poor]],MATCH($CA35,TBPS[[helper]:[helper]],0),CS$19)&lt;&gt;"",CS$20,""),
IF(AND(teacher_type="TB",career_stage="HP"),
    IF(INDEX(TBHPS[[Outstanding]:[Poor]],MATCH($CA35,TBHPS[[helper]:[helper]],0),CS$19)&lt;&gt;"",CS$20,""),
CS$20)))),
CS$20),CS$20)</f>
        <v>3</v>
      </c>
      <c r="CT35" s="359" cm="1">
        <f t="array" ref="CT35">IFERROR(IF($CA35&lt;&gt;"",
IF(AND(teacher_type="R",career_stage="P"),
    IF(INDEX(RPS[[Outstanding]:[Poor]],MATCH($CA35,RPS[[helper]:[helper]],0),CT$19)&lt;&gt;"",CT$20,""),
IF(AND(teacher_type="R",career_stage="HP"),
    IF(INDEX(RHPS[[Outstanding]:[Poor]],MATCH($CA35,RHPS[[helper]:[helper]],0),CT$19)&lt;&gt;"",CT$20,""),
IF(AND(teacher_type="TB",career_stage="P"),
    IF(INDEX(TBPS[[Outstanding]:[Poor]],MATCH($CA35,TBPS[[helper]:[helper]],0),CT$19)&lt;&gt;"",CT$20,""),
IF(AND(teacher_type="TB",career_stage="HP"),
    IF(INDEX(TBHPS[[Outstanding]:[Poor]],MATCH($CA35,TBHPS[[helper]:[helper]],0),CT$19)&lt;&gt;"",CT$20,""),
CT$20)))),
CT$20),CT$20)</f>
        <v>2</v>
      </c>
      <c r="CU35" s="359" cm="1">
        <f t="array" ref="CU35">IFERROR(IF($CA35&lt;&gt;"",
IF(AND(teacher_type="R",career_stage="P"),
    IF(INDEX(RPS[[Outstanding]:[Poor]],MATCH($CA35,RPS[[helper]:[helper]],0),CU$19)&lt;&gt;"",CU$20,""),
IF(AND(teacher_type="R",career_stage="HP"),
    IF(INDEX(RHPS[[Outstanding]:[Poor]],MATCH($CA35,RHPS[[helper]:[helper]],0),CU$19)&lt;&gt;"",CU$20,""),
IF(AND(teacher_type="TB",career_stage="P"),
    IF(INDEX(TBPS[[Outstanding]:[Poor]],MATCH($CA35,TBPS[[helper]:[helper]],0),CU$19)&lt;&gt;"",CU$20,""),
IF(AND(teacher_type="TB",career_stage="HP"),
    IF(INDEX(TBHPS[[Outstanding]:[Poor]],MATCH($CA35,TBHPS[[helper]:[helper]],0),CU$19)&lt;&gt;"",CU$20,""),
CU$20)))),
CU$20),CU$20)</f>
        <v>1</v>
      </c>
      <c r="CV35" s="360">
        <f t="shared" si="29"/>
        <v>5</v>
      </c>
      <c r="CY35" s="443" t="b" cm="1">
        <f t="array" ref="CY35">IFERROR(AND(S$12,IF(AND($G35,$D35="COI"),
IF(AND(teacher_type="R",career_stage="P"),VLOOKUP($BF35,RPI[],COLUMN(RPI[cot1]),FALSE),
IF(AND(teacher_type="R",career_stage="HP"),VLOOKUP($BF35,RHPI[],COLUMN(RHPI[cot1]),FALSE),
IF(AND(teacher_type="TB",career_stage="P"),VLOOKUP($BF35,TBPI[],COLUMN(TBPI[cot1]),FALSE),
IF(AND(teacher_type="TB",career_stage="HP"),VLOOKUP($BF35,TBHPI[],COLUMN(TBHPI[cot1]),FALSE),FALSE)))),
FALSE)),FALSE)</f>
        <v>0</v>
      </c>
      <c r="CZ35" s="443" t="b">
        <f t="shared" si="30"/>
        <v>0</v>
      </c>
      <c r="DA35" s="443" t="b" cm="1">
        <f t="array" ref="DA35">IFERROR(AND(U$12,IF(AND($G35,$D35="COI"),
IF(AND(teacher_type="R",career_stage="P"),VLOOKUP($BF35,RPI[],COLUMN(RPI[cot2]),FALSE),
IF(AND(teacher_type="R",career_stage="HP"),VLOOKUP($BF35,RHPI[],COLUMN(RHPI[cot2]),FALSE),
IF(AND(teacher_type="TB",career_stage="P"),VLOOKUP($BF35,TBPI[],COLUMN(TBPI[cot2]),FALSE),
IF(AND(teacher_type="TB",career_stage="HP"),VLOOKUP($BF35,TBHPI[],COLUMN(TBHPI[cot2]),FALSE),FALSE)))),
FALSE)),FALSE)</f>
        <v>0</v>
      </c>
      <c r="DB35" s="443" t="b">
        <f t="shared" si="31"/>
        <v>0</v>
      </c>
      <c r="DC35" s="443" t="b" cm="1">
        <f t="array" ref="DC35">IFERROR(AND(W$12,IF(AND($G35,$D35="COI"),
IF(AND(teacher_type="R",career_stage="P"),VLOOKUP($BF35,RPI[],COLUMN(RPI[cot3]),FALSE),
IF(AND(teacher_type="R",career_stage="HP"),VLOOKUP($BF35,RHPI[],COLUMN(RHPI[cot3]),FALSE),
IF(AND(teacher_type="TB",career_stage="P"),VLOOKUP($BF35,TBPI[],COLUMN(TBPI[cot3]),FALSE),
IF(AND(teacher_type="TB",career_stage="HP"),VLOOKUP($BF35,TBHPI[],COLUMN(TBHPI[cot3]),FALSE),FALSE)))),
FALSE)),FALSE)</f>
        <v>0</v>
      </c>
      <c r="DD35" s="443" t="b">
        <f t="shared" si="32"/>
        <v>0</v>
      </c>
      <c r="DE35" s="443" t="b" cm="1">
        <f t="array" ref="DE35">IFERROR(AND(Y$12,IF(AND($G35,$D35="COI"),
IF(AND(teacher_type="R",career_stage="P"),VLOOKUP($BF35,RPI[],COLUMN(RPI[cot4]),FALSE),
IF(AND(teacher_type="R",career_stage="HP"),VLOOKUP($BF35,RHPI[],COLUMN(RHPI[cot4]),FALSE),
IF(AND(teacher_type="TB",career_stage="P"),VLOOKUP($BF35,TBPI[],COLUMN(TBPI[cot4]),FALSE),
IF(AND(teacher_type="TB",career_stage="HP"),VLOOKUP($BF35,TBHPI[],COLUMN(TBHPI[cot4]),FALSE),FALSE)))),
FALSE)),FALSE)</f>
        <v>0</v>
      </c>
      <c r="DF35" s="443" t="b">
        <f t="shared" si="33"/>
        <v>0</v>
      </c>
      <c r="DG35" s="150">
        <f t="shared" si="34"/>
        <v>0</v>
      </c>
      <c r="DH35" s="154">
        <f>IF(AND(CY35,LOWER(TRIM(S$20))=LOWER(TRIM(data2!$U$35))),1,0) +
IF(AND(DA35,LOWER(TRIM(U$20))=LOWER(TRIM(data2!$U$35))),1,0) +
IF(AND(DC35,LOWER(TRIM(W$20))=LOWER(TRIM(data2!$U$35))),1,0) +
IF(AND(DE35,LOWER(TRIM(Y$20))=LOWER(TRIM(data2!$U$35))),1,0)</f>
        <v>0</v>
      </c>
      <c r="DJ35" s="154">
        <f t="shared" si="35"/>
        <v>0</v>
      </c>
    </row>
    <row r="36" spans="1:114" s="154" customFormat="1" ht="24.95" customHeight="1" x14ac:dyDescent="0.25">
      <c r="A36" s="156"/>
      <c r="B36" s="154">
        <v>15</v>
      </c>
      <c r="C36" s="150" t="str">
        <f>IFERROR(IF(AND(teacher_type="R",career_stage="P"),VLOOKUP(O36,RPI[],COLUMNS(RPI[[Strand]:[admin_selected_coi_ncoi]]),FALSE),IF(AND(teacher_type="R",career_stage="HP"),VLOOKUP(O36,RHPI[],COLUMNS(RHPI[[Strand]:[admin_selected_coi_ncoi]]),FALSE),IF(AND(teacher_type="TB",career_stage="P"),VLOOKUP(O36,TBPI[],COLUMNS(TBPI[[Strand]:[admin_selected_coi_ncoi]]),FALSE),IF(AND(teacher_type="TB",career_stage="HP"),VLOOKUP(O36,TBHPI[],COLUMNS(TBHPI[[Strand]:[admin_selected_coi_ncoi]]),FALSE),"NCOI")))),"NCOI")</f>
        <v>COI</v>
      </c>
      <c r="D36" s="150" t="str">
        <f t="shared" si="10"/>
        <v>COI</v>
      </c>
      <c r="E36" s="150">
        <f>IFERROR(IF(AND(teacher_type="R",career_stage="P"),VLOOKUP($O36,RPI[[Strand]:[Domain]],COLUMNS(RPI[[Strand]:[Domain]]),FALSE),IF(AND(teacher_type="R",career_stage="HP"),VLOOKUP($O36,RHPI[[Strand]:[Domain]],COLUMNS(RHPI[[Strand]:[Domain]]),FALSE),IF(AND(teacher_type="TB",career_stage="P"),VLOOKUP($O36,TBPI[[Strand]:[Domain]],COLUMNS(TBPI[[Strand]:[Domain]]),FALSE),IF(AND(teacher_type="TB",career_stage="HP"),VLOOKUP($O36,TBHPI[[Strand]:[Domain]],COLUMNS(TBHPI[[Strand]:[Domain]]),FALSE),"")))),"")</f>
        <v>2</v>
      </c>
      <c r="F36" s="155" t="b">
        <f>AND(COUNTIFS($E$22:$E36,E36,$G$22:$G36,TRUE)=1,$G36)</f>
        <v>0</v>
      </c>
      <c r="G36" s="212" t="b">
        <f>IFERROR(IF(AND(teacher_type="R",career_stage="P"),VLOOKUP($O36,RPI[],COLUMNS(RPI[[Strand]:[Selected]]),FALSE),IF(AND(teacher_type="R",career_stage="HP"),VLOOKUP($O36,RHPI[],COLUMNS(RHPI[[Strand]:[Selected]]),FALSE),IF(AND(teacher_type="TB",career_stage="P"),VLOOKUP($O36,TBPI[],COLUMNS(TBPI[[Strand]:[Selected]]),FALSE),IF(AND(teacher_type="TB",career_stage="HP"),VLOOKUP($O36,TBHPI[],COLUMNS(TBHPI[[Strand]:[Selected]]),FALSE),FALSE)))),FALSE)</f>
        <v>1</v>
      </c>
      <c r="H36" s="156" t="b">
        <f>IFERROR(IF(AND(teacher_type="R",career_stage="P"),AND(COUNTIFS(RPS[Strand],$O36,RPS[QET],H$21)&gt;0,$G36),IF(AND(teacher_type="R",career_stage="HP"),AND(COUNTIFS(RHPS[Strand],$O36,RHPS[QET],H$21)&gt;0,$G36),IF(AND(teacher_type="TB",career_stage="P"),AND(COUNTIFS(TBPS[Strand],$O36,TBPS[QET],H$21)&gt;0,$G36),IF(AND(teacher_type="TB",career_stage="HP"),AND(COUNTIFS(TBHPS[Strand],$O36,TBHPS[QET],H$21)&gt;0,$G36),FALSE)))),FALSE)</f>
        <v>1</v>
      </c>
      <c r="I36" s="156" t="b">
        <f t="shared" si="11"/>
        <v>0</v>
      </c>
      <c r="J36" s="156" t="b">
        <f>IFERROR(IF(AND(teacher_type="R",career_stage="P"),AND(COUNTIFS(RPS[Strand],$O36,RPS[QET],J$21)&gt;0,$G36),IF(AND(teacher_type="R",career_stage="HP"),AND(COUNTIFS(RHPS[Strand],$O36,RHPS[QET],J$21)&gt;0,$G36),IF(AND(teacher_type="TB",career_stage="P"),AND(COUNTIFS(TBPS[Strand],$O36,TBPS[QET],J$21)&gt;0,$G36),IF(AND(teacher_type="TB",career_stage="HP"),AND(COUNTIFS(TBHPS[Strand],$O36,TBHPS[QET],J$21)&gt;0,$G36),FALSE)))),FALSE)</f>
        <v>1</v>
      </c>
      <c r="K36" s="156" t="b">
        <f>IFERROR(IF(AND(teacher_type="R",career_stage="P"),AND(COUNTIFS(RPS[Strand],$O36,RPS[QET],K$21)&gt;0,$G36),IF(AND(teacher_type="R",career_stage="HP"),AND(COUNTIFS(RHPS[Strand],$O36,RHPS[QET],K$21)&gt;0,$G36),IF(AND(teacher_type="TB",career_stage="P"),AND(COUNTIFS(TBPS[Strand],$O36,TBPS[QET],K$21)&gt;0,$G36),IF(AND(teacher_type="TB",career_stage="HP"),AND(COUNTIFS(TBHPS[Strand],$O36,TBHPS[QET],K$21)&gt;0,$G36),FALSE)))),FALSE)</f>
        <v>0</v>
      </c>
      <c r="L36" s="156" t="b">
        <f t="shared" si="12"/>
        <v>1</v>
      </c>
      <c r="M36" s="165" t="str">
        <f t="shared" si="13"/>
        <v/>
      </c>
      <c r="N36" s="48">
        <f>IF($G36,COUNTIF($G$22:$G36,TRUE),"")</f>
        <v>7</v>
      </c>
      <c r="O36" s="48" t="str" cm="1">
        <f t="array" ref="O36">IFERROR(IF(AND(teacher_type="R",career_stage="P"),INDEX(RPI[Strand],$B36),IF(AND(teacher_type="R",career_stage="HP"),INDEX(RHPI[Strand],$B36),IF(AND(teacher_type="TB",career_stage="P"),INDEX(TBPI[Strand],$B36),IF(AND(teacher_type="TB",career_stage="HP"),INDEX(TBHPI[Strand],$B36),"")))),"")</f>
        <v>3.2.2</v>
      </c>
      <c r="P36" s="166" t="str">
        <f>$C$36</f>
        <v>COI</v>
      </c>
      <c r="Q36" s="167">
        <f>IFERROR(IF(AND(teacher_type="R",career_stage="P"),VLOOKUP(O36,RPI[],COLUMNS(RPI[[Strand]:[Weight]]),FALSE), IF(AND(teacher_type="R",career_stage="HP"),VLOOKUP(O36,RHPI[],COLUMNS(RHPI[[Strand]:[Weight]]),FALSE), IF(AND(teacher_type="TB",career_stage="P"),VLOOKUP(O36,TBPI[],COLUMNS(TBPI[[Strand]:[Weight]]),FALSE), IF(AND(teacher_type="TB",career_stage="HP"),VLOOKUP(O36,TBHPI[],COLUMNS(TBHPI[[Strand]:[Weight]]),FALSE),0)))),0)</f>
        <v>7.0000000000000007E-2</v>
      </c>
      <c r="R36" s="168">
        <f>COUNTIFS($D$22:D36,"COI",$G$22:G36,TRUE)</f>
        <v>7</v>
      </c>
      <c r="S36" s="483"/>
      <c r="T36" s="169" t="str">
        <f>IFERROR(IF(LOWER(TRIM(S$20))=LOWER(TRIM(data2!$U$35)),"",IF(AND($G36,$D36="COI",S$12,CZ36),IF(OR(LOWER(TRIM(S$20))=LOWER(TRIM(data2!$U$36)),ISBLANK(S36)),1,IF(career_stage="P",VLOOKUP(S36,P_COT_vlookup,2,FALSE),IF(career_stage="HP",VLOOKUP(S36,HP_COT_vlookup,2,FALSE),""))),"")),"")</f>
        <v/>
      </c>
      <c r="U36" s="460">
        <v>7</v>
      </c>
      <c r="V36" s="170">
        <f>IFERROR(IF(LOWER(TRIM(U$20))=LOWER(TRIM(data2!$U$35)),"",IF(AND($G36,$D36="COI",U$12,DB36),IF(OR(LOWER(TRIM(U$20))=LOWER(TRIM(data2!$U$36)),ISBLANK(U36)),1,IF(career_stage="P",VLOOKUP(U36,P_COT_vlookup,2,FALSE),IF(career_stage="HP",VLOOKUP(U36,HP_COT_vlookup,2,FALSE),""))),"")),"")</f>
        <v>5</v>
      </c>
      <c r="W36" s="483"/>
      <c r="X36" s="169" t="str">
        <f>IFERROR(IF(LOWER(TRIM(W$20))=LOWER(TRIM(data2!$U$35)),"",IF(AND($G36,$D36="COI",W$12,DD36),IF(OR(LOWER(TRIM(W$20))=LOWER(TRIM(data2!$U$36)),ISBLANK(W36)),1,IF(career_stage="P",VLOOKUP(W36,P_COT_vlookup,2,FALSE),IF(career_stage="HP",VLOOKUP(W36,HP_COT_vlookup,2,FALSE),""))),"")),"")</f>
        <v/>
      </c>
      <c r="Y36" s="460">
        <v>7</v>
      </c>
      <c r="Z36" s="170">
        <f>IFERROR(IF(LOWER(TRIM(Y$20))=LOWER(TRIM(data2!$U$35)),"",IF(AND($G36,$D36="COI",Y$12,DF36),IF(OR(LOWER(TRIM(Y$20))=LOWER(TRIM(data2!$U$36)),ISBLANK(Y36)),1,IF(career_stage="P",VLOOKUP(Y36,P_COT_vlookup,2,FALSE),IF(career_stage="HP",VLOOKUP(Y36,HP_COT_vlookup,2,FALSE),""))),"")),"")</f>
        <v>5</v>
      </c>
      <c r="AA36" s="171">
        <f t="shared" si="14"/>
        <v>5</v>
      </c>
      <c r="AB36" s="471">
        <f>IFERROR(IF(NOT(L22),"",VLOOKUP(ROUNDDOWN($AA$36,3),rating_desc_vlookup,3,TRUE)),1)</f>
        <v>5</v>
      </c>
      <c r="AC36" s="462">
        <v>5</v>
      </c>
      <c r="AD36" s="473"/>
      <c r="AE36" s="49">
        <f t="shared" si="2"/>
        <v>5</v>
      </c>
      <c r="AF36" s="49">
        <f t="shared" si="3"/>
        <v>0.35</v>
      </c>
      <c r="AG36" s="172" t="str">
        <f t="shared" si="4"/>
        <v>Outstanding</v>
      </c>
      <c r="AI36" s="196" t="b">
        <f t="shared" si="5"/>
        <v>1</v>
      </c>
      <c r="AJ36" s="154" t="b">
        <v>1</v>
      </c>
      <c r="AK36" s="154" t="b">
        <v>1</v>
      </c>
      <c r="AL36" s="196" t="b">
        <f t="shared" si="15"/>
        <v>1</v>
      </c>
      <c r="AM36" s="154" t="b">
        <v>1</v>
      </c>
      <c r="AN36" s="196" t="b">
        <f t="shared" si="15"/>
        <v>1</v>
      </c>
      <c r="AO36" s="154" t="b">
        <v>1</v>
      </c>
      <c r="AP36" s="196" t="b">
        <f t="shared" si="15"/>
        <v>1</v>
      </c>
      <c r="AQ36" s="154" t="b">
        <v>1</v>
      </c>
      <c r="AR36" s="196" t="b">
        <f t="shared" si="15"/>
        <v>1</v>
      </c>
      <c r="AS36" s="154" t="b">
        <v>1</v>
      </c>
      <c r="AT36" s="154" t="b">
        <v>1</v>
      </c>
      <c r="AU36" s="196" t="b">
        <f t="shared" si="6"/>
        <v>1</v>
      </c>
      <c r="AV36" s="196" t="b">
        <f t="shared" si="7"/>
        <v>1</v>
      </c>
      <c r="AW36" s="196" t="b">
        <f t="shared" si="8"/>
        <v>1</v>
      </c>
      <c r="AX36" s="47" t="b">
        <v>1</v>
      </c>
      <c r="AY36" s="47" t="b">
        <v>1</v>
      </c>
      <c r="AZ36" s="47" t="b">
        <v>1</v>
      </c>
      <c r="BF36" s="154" t="str">
        <f t="shared" si="9"/>
        <v>3.2.2</v>
      </c>
      <c r="BG36" s="196" t="b" cm="1">
        <f t="array" ref="BG36">IFERROR(IF(OR(LOWER(TRIM(S$20))=LOWER(TRIM(data2!$U$35)),LOWER(TRIM(S$20))=LOWER(TRIM(data2!$U$36))),FALSE,AND(S$12,IF(AND($G36,$D36="COI"),
IF(AND(teacher_type="R",career_stage="P"),VLOOKUP($BF36,RPI[],COLUMN(RPI[cot1]),FALSE),
IF(AND(teacher_type="R",career_stage="HP"),VLOOKUP($BF36,RHPI[],COLUMN(RHPI[cot1]),FALSE),
IF(AND(teacher_type="TB",career_stage="P"),VLOOKUP($BF36,TBPI[],COLUMN(TBPI[cot1]),FALSE),
IF(AND(teacher_type="TB",career_stage="HP"),VLOOKUP($BF36,TBHPI[],COLUMN(TBHPI[cot1]),FALSE),FALSE)))),
FALSE))),FALSE)</f>
        <v>0</v>
      </c>
      <c r="BH36" s="154" t="b">
        <v>0</v>
      </c>
      <c r="BI36" s="196" t="b" cm="1">
        <f t="array" ref="BI36">IFERROR(IF(OR(LOWER(TRIM(U$20))=LOWER(TRIM(data2!$U$35)),LOWER(TRIM(U$20))=LOWER(TRIM(data2!$U$36))),FALSE,AND(U$12,IF(AND($G36,$D36="COI"),
IF(AND(teacher_type="R",career_stage="P"),VLOOKUP($BF36,RPI[],COLUMN(RPI[cot2]),FALSE),
IF(AND(teacher_type="R",career_stage="HP"),VLOOKUP($BF36,RHPI[],COLUMN(RHPI[cot2]),FALSE),
IF(AND(teacher_type="TB",career_stage="P"),VLOOKUP($BF36,TBPI[],COLUMN(TBPI[cot2]),FALSE),
IF(AND(teacher_type="TB",career_stage="HP"),VLOOKUP($BF36,TBHPI[],COLUMN(TBHPI[cot2]),FALSE),FALSE)))),
FALSE))),FALSE)</f>
        <v>1</v>
      </c>
      <c r="BJ36" s="154" t="b">
        <v>0</v>
      </c>
      <c r="BK36" s="196" t="b" cm="1">
        <f t="array" ref="BK36">IFERROR(IF(OR(LOWER(TRIM(W$20))=LOWER(TRIM(data2!$U$35)),LOWER(TRIM(W$20))=LOWER(TRIM(data2!$U$36))),FALSE,AND(W$12,IF(AND($G36,$D36="COI"),
IF(AND(teacher_type="R",career_stage="P"),VLOOKUP($BF36,RPI[],COLUMN(RPI[cot3]),FALSE),
IF(AND(teacher_type="R",career_stage="HP"),VLOOKUP($BF36,RHPI[],COLUMN(RHPI[cot3]),FALSE),
IF(AND(teacher_type="TB",career_stage="P"),VLOOKUP($BF36,TBPI[],COLUMN(TBPI[cot3]),FALSE),
IF(AND(teacher_type="TB",career_stage="HP"),VLOOKUP($BF36,TBHPI[],COLUMN(TBHPI[cot3]),FALSE),FALSE)))),
FALSE))),FALSE)</f>
        <v>0</v>
      </c>
      <c r="BL36" s="154" t="b">
        <v>0</v>
      </c>
      <c r="BM36" s="196" t="b" cm="1">
        <f t="array" ref="BM36">IFERROR(IF(OR(LOWER(TRIM(Y$20))=LOWER(TRIM(data2!$U$35)),LOWER(TRIM(Y$20))=LOWER(TRIM(data2!$U$36))),FALSE,AND(Y$12,IF(AND($G36,$D36="COI"),
IF(AND(teacher_type="R",career_stage="P"),VLOOKUP($BF36,RPI[],COLUMN(RPI[cot4]),FALSE),
IF(AND(teacher_type="R",career_stage="HP"),VLOOKUP($BF36,RHPI[],COLUMN(RHPI[cot4]),FALSE),
IF(AND(teacher_type="TB",career_stage="P"),VLOOKUP($BF36,TBPI[],COLUMN(TBPI[cot4]),FALSE),
IF(AND(teacher_type="TB",career_stage="HP"),VLOOKUP($BF36,TBHPI[],COLUMN(TBHPI[cot4]),FALSE),FALSE)))),
FALSE))),FALSE)</f>
        <v>1</v>
      </c>
      <c r="BN36" s="154" t="b">
        <v>0</v>
      </c>
      <c r="BO36" s="150">
        <f t="shared" si="16"/>
        <v>2</v>
      </c>
      <c r="BP36" s="196" t="b">
        <f t="shared" si="17"/>
        <v>1</v>
      </c>
      <c r="BQ36" s="196" t="b">
        <f>IFERROR(IF(OR(NOT(CZ36),LOWER(TRIM(S$20))=LOWER(TRIM(data2!$U$35))),TRUE,IF(AND(CZ36,LOWER(TRIM(S$20))=LOWER(TRIM(data2!$U$36))),FALSE)),FALSE)</f>
        <v>1</v>
      </c>
      <c r="BR36" s="196" t="b">
        <f t="shared" si="18"/>
        <v>0</v>
      </c>
      <c r="BS36" s="196" t="b">
        <f>IFERROR(IF(OR(NOT(DB36),LOWER(TRIM(U$20))=LOWER(TRIM(data2!$U$35))),TRUE,IF(AND(DB36,LOWER(TRIM(U$20))=LOWER(TRIM(data2!$U$36))),FALSE)),FALSE)</f>
        <v>0</v>
      </c>
      <c r="BT36" s="196" t="b">
        <f t="shared" si="19"/>
        <v>1</v>
      </c>
      <c r="BU36" s="196" t="b">
        <f>IFERROR(IF(OR(NOT(DD36),LOWER(TRIM(W$20))=LOWER(TRIM(data2!$U$35))),TRUE,IF(AND(DD36,LOWER(TRIM(W$20))=LOWER(TRIM(data2!$U$36))),FALSE)),FALSE)</f>
        <v>1</v>
      </c>
      <c r="BV36" s="196" t="b">
        <f t="shared" si="20"/>
        <v>0</v>
      </c>
      <c r="BW36" s="196" t="b">
        <f>IFERROR(IF(OR(NOT(DF36),LOWER(TRIM(Y$20))=LOWER(TRIM(data2!$U$35))),TRUE,IF(AND(DF36,LOWER(TRIM(Y$20))=LOWER(TRIM(data2!$U$36))),FALSE)),FALSE)</f>
        <v>0</v>
      </c>
      <c r="BY36" s="154" t="str">
        <f t="shared" si="21"/>
        <v/>
      </c>
      <c r="BZ36" s="154" t="str">
        <f t="shared" si="22"/>
        <v>3.2.2-E-COI</v>
      </c>
      <c r="CA36" s="154" t="str">
        <f t="shared" si="23"/>
        <v/>
      </c>
      <c r="CB36" s="154" t="str">
        <f t="shared" si="24"/>
        <v>CE36:CI36</v>
      </c>
      <c r="CC36" s="154" t="str">
        <f t="shared" si="25"/>
        <v>CK36:CO36</v>
      </c>
      <c r="CD36" s="154" t="str">
        <f t="shared" si="26"/>
        <v>CQ36:CU36</v>
      </c>
      <c r="CE36" s="359" cm="1">
        <f t="array" ref="CE36">IFERROR(IF($BY36&lt;&gt;"",
IF(AND(teacher_type="R",career_stage="P"),
    IF(INDEX(RPS[[Outstanding]:[Poor]],MATCH($BY36,RPS[[helper]:[helper]],0),CE$19)&lt;&gt;"",CE$20,""),
IF(AND(teacher_type="R",career_stage="HP"),
    IF(INDEX(RHPS[[Outstanding]:[Poor]],MATCH($BY36,RHPS[[helper]:[helper]],0),CE$19)&lt;&gt;"",CE$20,""),
IF(AND(teacher_type="TB",career_stage="P"),
    IF(INDEX(TBPS[[Outstanding]:[Poor]],MATCH($BY36,TBPS[[helper]:[helper]],0),CE$19)&lt;&gt;"",CE$20,""),
IF(AND(teacher_type="TB",career_stage="HP"),
    IF(INDEX(TBHPS[[Outstanding]:[Poor]],MATCH($BY36,TBHPS[[helper]:[helper]],0),CE$19)&lt;&gt;"",CE$20,""),
CE$20)))),
CE$20),CE$20)</f>
        <v>5</v>
      </c>
      <c r="CF36" s="359" cm="1">
        <f t="array" ref="CF36">IFERROR(IF($BY36&lt;&gt;"",
IF(AND(teacher_type="R",career_stage="P"),
    IF(INDEX(RPS[[Outstanding]:[Poor]],MATCH($BY36,RPS[[helper]:[helper]],0),CF$19)&lt;&gt;"",CF$20,""),
IF(AND(teacher_type="R",career_stage="HP"),
    IF(INDEX(RHPS[[Outstanding]:[Poor]],MATCH($BY36,RHPS[[helper]:[helper]],0),CF$19)&lt;&gt;"",CF$20,""),
IF(AND(teacher_type="TB",career_stage="P"),
    IF(INDEX(TBPS[[Outstanding]:[Poor]],MATCH($BY36,TBPS[[helper]:[helper]],0),CF$19)&lt;&gt;"",CF$20,""),
IF(AND(teacher_type="TB",career_stage="HP"),
    IF(INDEX(TBHPS[[Outstanding]:[Poor]],MATCH($BY36,TBHPS[[helper]:[helper]],0),CF$19)&lt;&gt;"",CF$20,""),
CF$20)))),
CF$20),CF$20)</f>
        <v>4</v>
      </c>
      <c r="CG36" s="359" cm="1">
        <f t="array" ref="CG36">IFERROR(IF($BY36&lt;&gt;"",
IF(AND(teacher_type="R",career_stage="P"),
    IF(INDEX(RPS[[Outstanding]:[Poor]],MATCH($BY36,RPS[[helper]:[helper]],0),CG$19)&lt;&gt;"",CG$20,""),
IF(AND(teacher_type="R",career_stage="HP"),
    IF(INDEX(RHPS[[Outstanding]:[Poor]],MATCH($BY36,RHPS[[helper]:[helper]],0),CG$19)&lt;&gt;"",CG$20,""),
IF(AND(teacher_type="TB",career_stage="P"),
    IF(INDEX(TBPS[[Outstanding]:[Poor]],MATCH($BY36,TBPS[[helper]:[helper]],0),CG$19)&lt;&gt;"",CG$20,""),
IF(AND(teacher_type="TB",career_stage="HP"),
    IF(INDEX(TBHPS[[Outstanding]:[Poor]],MATCH($BY36,TBHPS[[helper]:[helper]],0),CG$19)&lt;&gt;"",CG$20,""),
CG$20)))),
CG$20),CG$20)</f>
        <v>3</v>
      </c>
      <c r="CH36" s="359" cm="1">
        <f t="array" ref="CH36">IFERROR(IF($BY36&lt;&gt;"",
IF(AND(teacher_type="R",career_stage="P"),
    IF(INDEX(RPS[[Outstanding]:[Poor]],MATCH($BY36,RPS[[helper]:[helper]],0),CH$19)&lt;&gt;"",CH$20,""),
IF(AND(teacher_type="R",career_stage="HP"),
    IF(INDEX(RHPS[[Outstanding]:[Poor]],MATCH($BY36,RHPS[[helper]:[helper]],0),CH$19)&lt;&gt;"",CH$20,""),
IF(AND(teacher_type="TB",career_stage="P"),
    IF(INDEX(TBPS[[Outstanding]:[Poor]],MATCH($BY36,TBPS[[helper]:[helper]],0),CH$19)&lt;&gt;"",CH$20,""),
IF(AND(teacher_type="TB",career_stage="HP"),
    IF(INDEX(TBHPS[[Outstanding]:[Poor]],MATCH($BY36,TBHPS[[helper]:[helper]],0),CH$19)&lt;&gt;"",CH$20,""),
CH$20)))),
CH$20),CH$20)</f>
        <v>2</v>
      </c>
      <c r="CI36" s="359" cm="1">
        <f t="array" ref="CI36">IFERROR(IF($BY36&lt;&gt;"",
IF(AND(teacher_type="R",career_stage="P"),
    IF(INDEX(RPS[[Outstanding]:[Poor]],MATCH($BY36,RPS[[helper]:[helper]],0),CI$19)&lt;&gt;"",CI$20,""),
IF(AND(teacher_type="R",career_stage="HP"),
    IF(INDEX(RHPS[[Outstanding]:[Poor]],MATCH($BY36,RHPS[[helper]:[helper]],0),CI$19)&lt;&gt;"",CI$20,""),
IF(AND(teacher_type="TB",career_stage="P"),
    IF(INDEX(TBPS[[Outstanding]:[Poor]],MATCH($BY36,TBPS[[helper]:[helper]],0),CI$19)&lt;&gt;"",CI$20,""),
IF(AND(teacher_type="TB",career_stage="HP"),
    IF(INDEX(TBHPS[[Outstanding]:[Poor]],MATCH($BY36,TBHPS[[helper]:[helper]],0),CI$19)&lt;&gt;"",CI$20,""),
CI$20)))),
CI$20),CI$20)</f>
        <v>1</v>
      </c>
      <c r="CJ36" s="360">
        <f t="shared" si="27"/>
        <v>5</v>
      </c>
      <c r="CK36" s="359" cm="1">
        <f t="array" ref="CK36">IFERROR(IF($BZ36&lt;&gt;"",
IF(AND(teacher_type="R",career_stage="P"),
    IF(INDEX(RPS[[Outstanding]:[Poor]],MATCH($BZ36,RPS[[helper]:[helper]],0),CK$19)&lt;&gt;"",CK$20,""),
IF(AND(teacher_type="R",career_stage="HP"),
    IF(INDEX(RHPS[[Outstanding]:[Poor]],MATCH($BZ36,RHPS[[helper]:[helper]],0),CK$19)&lt;&gt;"",CK$20,""),
IF(AND(teacher_type="TB",career_stage="P"),
    IF(INDEX(TBPS[[Outstanding]:[Poor]],MATCH($BZ36,TBPS[[helper]:[helper]],0),CK$19)&lt;&gt;"",CK$20,""),
IF(AND(teacher_type="TB",career_stage="HP"),
    IF(INDEX(TBHPS[[Outstanding]:[Poor]],MATCH($BZ36,TBHPS[[helper]:[helper]],0),CK$19)&lt;&gt;"",CK$20,""),
CK$20)))),
CK$20),CK$20)</f>
        <v>5</v>
      </c>
      <c r="CL36" s="359" t="str" cm="1">
        <f t="array" ref="CL36">IFERROR(IF($BZ36&lt;&gt;"",
IF(AND(teacher_type="R",career_stage="P"),
    IF(INDEX(RPS[[Outstanding]:[Poor]],MATCH($BZ36,RPS[[helper]:[helper]],0),CL$19)&lt;&gt;"",CL$20,""),
IF(AND(teacher_type="R",career_stage="HP"),
    IF(INDEX(RHPS[[Outstanding]:[Poor]],MATCH($BZ36,RHPS[[helper]:[helper]],0),CL$19)&lt;&gt;"",CL$20,""),
IF(AND(teacher_type="TB",career_stage="P"),
    IF(INDEX(TBPS[[Outstanding]:[Poor]],MATCH($BZ36,TBPS[[helper]:[helper]],0),CL$19)&lt;&gt;"",CL$20,""),
IF(AND(teacher_type="TB",career_stage="HP"),
    IF(INDEX(TBHPS[[Outstanding]:[Poor]],MATCH($BZ36,TBHPS[[helper]:[helper]],0),CL$19)&lt;&gt;"",CL$20,""),
CL$20)))),
CL$20),CL$20)</f>
        <v/>
      </c>
      <c r="CM36" s="359" cm="1">
        <f t="array" ref="CM36">IFERROR(IF($BZ36&lt;&gt;"",
IF(AND(teacher_type="R",career_stage="P"),
    IF(INDEX(RPS[[Outstanding]:[Poor]],MATCH($BZ36,RPS[[helper]:[helper]],0),CM$19)&lt;&gt;"",CM$20,""),
IF(AND(teacher_type="R",career_stage="HP"),
    IF(INDEX(RHPS[[Outstanding]:[Poor]],MATCH($BZ36,RHPS[[helper]:[helper]],0),CM$19)&lt;&gt;"",CM$20,""),
IF(AND(teacher_type="TB",career_stage="P"),
    IF(INDEX(TBPS[[Outstanding]:[Poor]],MATCH($BZ36,TBPS[[helper]:[helper]],0),CM$19)&lt;&gt;"",CM$20,""),
IF(AND(teacher_type="TB",career_stage="HP"),
    IF(INDEX(TBHPS[[Outstanding]:[Poor]],MATCH($BZ36,TBHPS[[helper]:[helper]],0),CM$19)&lt;&gt;"",CM$20,""),
CM$20)))),
CM$20),CM$20)</f>
        <v>3</v>
      </c>
      <c r="CN36" s="359" t="str" cm="1">
        <f t="array" ref="CN36">IFERROR(IF($BZ36&lt;&gt;"",
IF(AND(teacher_type="R",career_stage="P"),
    IF(INDEX(RPS[[Outstanding]:[Poor]],MATCH($BZ36,RPS[[helper]:[helper]],0),CN$19)&lt;&gt;"",CN$20,""),
IF(AND(teacher_type="R",career_stage="HP"),
    IF(INDEX(RHPS[[Outstanding]:[Poor]],MATCH($BZ36,RHPS[[helper]:[helper]],0),CN$19)&lt;&gt;"",CN$20,""),
IF(AND(teacher_type="TB",career_stage="P"),
    IF(INDEX(TBPS[[Outstanding]:[Poor]],MATCH($BZ36,TBPS[[helper]:[helper]],0),CN$19)&lt;&gt;"",CN$20,""),
IF(AND(teacher_type="TB",career_stage="HP"),
    IF(INDEX(TBHPS[[Outstanding]:[Poor]],MATCH($BZ36,TBHPS[[helper]:[helper]],0),CN$19)&lt;&gt;"",CN$20,""),
CN$20)))),
CN$20),CN$20)</f>
        <v/>
      </c>
      <c r="CO36" s="359" cm="1">
        <f t="array" ref="CO36">IFERROR(IF($BZ36&lt;&gt;"",
IF(AND(teacher_type="R",career_stage="P"),
    IF(INDEX(RPS[[Outstanding]:[Poor]],MATCH($BZ36,RPS[[helper]:[helper]],0),CO$19)&lt;&gt;"",CO$20,""),
IF(AND(teacher_type="R",career_stage="HP"),
    IF(INDEX(RHPS[[Outstanding]:[Poor]],MATCH($BZ36,RHPS[[helper]:[helper]],0),CO$19)&lt;&gt;"",CO$20,""),
IF(AND(teacher_type="TB",career_stage="P"),
    IF(INDEX(TBPS[[Outstanding]:[Poor]],MATCH($BZ36,TBPS[[helper]:[helper]],0),CO$19)&lt;&gt;"",CO$20,""),
IF(AND(teacher_type="TB",career_stage="HP"),
    IF(INDEX(TBHPS[[Outstanding]:[Poor]],MATCH($BZ36,TBHPS[[helper]:[helper]],0),CO$19)&lt;&gt;"",CO$20,""),
CO$20)))),
CO$20),CO$20)</f>
        <v>1</v>
      </c>
      <c r="CP36" s="360">
        <f t="shared" si="28"/>
        <v>3</v>
      </c>
      <c r="CQ36" s="359" cm="1">
        <f t="array" ref="CQ36">IFERROR(IF($CA36&lt;&gt;"",
IF(AND(teacher_type="R",career_stage="P"),
    IF(INDEX(RPS[[Outstanding]:[Poor]],MATCH($CA36,RPS[[helper]:[helper]],0),CQ$19)&lt;&gt;"",CQ$20,""),
IF(AND(teacher_type="R",career_stage="HP"),
    IF(INDEX(RHPS[[Outstanding]:[Poor]],MATCH($CA36,RHPS[[helper]:[helper]],0),CQ$19)&lt;&gt;"",CQ$20,""),
IF(AND(teacher_type="TB",career_stage="P"),
    IF(INDEX(TBPS[[Outstanding]:[Poor]],MATCH($CA36,TBPS[[helper]:[helper]],0),CQ$19)&lt;&gt;"",CQ$20,""),
IF(AND(teacher_type="TB",career_stage="HP"),
    IF(INDEX(TBHPS[[Outstanding]:[Poor]],MATCH($CA36,TBHPS[[helper]:[helper]],0),CQ$19)&lt;&gt;"",CQ$20,""),
CQ$20)))),
CQ$20),CQ$20)</f>
        <v>5</v>
      </c>
      <c r="CR36" s="359" cm="1">
        <f t="array" ref="CR36">IFERROR(IF($CA36&lt;&gt;"",
IF(AND(teacher_type="R",career_stage="P"),
    IF(INDEX(RPS[[Outstanding]:[Poor]],MATCH($CA36,RPS[[helper]:[helper]],0),CR$19)&lt;&gt;"",CR$20,""),
IF(AND(teacher_type="R",career_stage="HP"),
    IF(INDEX(RHPS[[Outstanding]:[Poor]],MATCH($CA36,RHPS[[helper]:[helper]],0),CR$19)&lt;&gt;"",CR$20,""),
IF(AND(teacher_type="TB",career_stage="P"),
    IF(INDEX(TBPS[[Outstanding]:[Poor]],MATCH($CA36,TBPS[[helper]:[helper]],0),CR$19)&lt;&gt;"",CR$20,""),
IF(AND(teacher_type="TB",career_stage="HP"),
    IF(INDEX(TBHPS[[Outstanding]:[Poor]],MATCH($CA36,TBHPS[[helper]:[helper]],0),CR$19)&lt;&gt;"",CR$20,""),
CR$20)))),
CR$20),CR$20)</f>
        <v>4</v>
      </c>
      <c r="CS36" s="359" cm="1">
        <f t="array" ref="CS36">IFERROR(IF($CA36&lt;&gt;"",
IF(AND(teacher_type="R",career_stage="P"),
    IF(INDEX(RPS[[Outstanding]:[Poor]],MATCH($CA36,RPS[[helper]:[helper]],0),CS$19)&lt;&gt;"",CS$20,""),
IF(AND(teacher_type="R",career_stage="HP"),
    IF(INDEX(RHPS[[Outstanding]:[Poor]],MATCH($CA36,RHPS[[helper]:[helper]],0),CS$19)&lt;&gt;"",CS$20,""),
IF(AND(teacher_type="TB",career_stage="P"),
    IF(INDEX(TBPS[[Outstanding]:[Poor]],MATCH($CA36,TBPS[[helper]:[helper]],0),CS$19)&lt;&gt;"",CS$20,""),
IF(AND(teacher_type="TB",career_stage="HP"),
    IF(INDEX(TBHPS[[Outstanding]:[Poor]],MATCH($CA36,TBHPS[[helper]:[helper]],0),CS$19)&lt;&gt;"",CS$20,""),
CS$20)))),
CS$20),CS$20)</f>
        <v>3</v>
      </c>
      <c r="CT36" s="359" cm="1">
        <f t="array" ref="CT36">IFERROR(IF($CA36&lt;&gt;"",
IF(AND(teacher_type="R",career_stage="P"),
    IF(INDEX(RPS[[Outstanding]:[Poor]],MATCH($CA36,RPS[[helper]:[helper]],0),CT$19)&lt;&gt;"",CT$20,""),
IF(AND(teacher_type="R",career_stage="HP"),
    IF(INDEX(RHPS[[Outstanding]:[Poor]],MATCH($CA36,RHPS[[helper]:[helper]],0),CT$19)&lt;&gt;"",CT$20,""),
IF(AND(teacher_type="TB",career_stage="P"),
    IF(INDEX(TBPS[[Outstanding]:[Poor]],MATCH($CA36,TBPS[[helper]:[helper]],0),CT$19)&lt;&gt;"",CT$20,""),
IF(AND(teacher_type="TB",career_stage="HP"),
    IF(INDEX(TBHPS[[Outstanding]:[Poor]],MATCH($CA36,TBHPS[[helper]:[helper]],0),CT$19)&lt;&gt;"",CT$20,""),
CT$20)))),
CT$20),CT$20)</f>
        <v>2</v>
      </c>
      <c r="CU36" s="359" cm="1">
        <f t="array" ref="CU36">IFERROR(IF($CA36&lt;&gt;"",
IF(AND(teacher_type="R",career_stage="P"),
    IF(INDEX(RPS[[Outstanding]:[Poor]],MATCH($CA36,RPS[[helper]:[helper]],0),CU$19)&lt;&gt;"",CU$20,""),
IF(AND(teacher_type="R",career_stage="HP"),
    IF(INDEX(RHPS[[Outstanding]:[Poor]],MATCH($CA36,RHPS[[helper]:[helper]],0),CU$19)&lt;&gt;"",CU$20,""),
IF(AND(teacher_type="TB",career_stage="P"),
    IF(INDEX(TBPS[[Outstanding]:[Poor]],MATCH($CA36,TBPS[[helper]:[helper]],0),CU$19)&lt;&gt;"",CU$20,""),
IF(AND(teacher_type="TB",career_stage="HP"),
    IF(INDEX(TBHPS[[Outstanding]:[Poor]],MATCH($CA36,TBHPS[[helper]:[helper]],0),CU$19)&lt;&gt;"",CU$20,""),
CU$20)))),
CU$20),CU$20)</f>
        <v>1</v>
      </c>
      <c r="CV36" s="360">
        <f t="shared" si="29"/>
        <v>5</v>
      </c>
      <c r="CY36" s="443" t="b" cm="1">
        <f t="array" ref="CY36">IFERROR(AND(S$12,IF(AND($G36,$D36="COI"),
IF(AND(teacher_type="R",career_stage="P"),VLOOKUP($BF36,RPI[],COLUMN(RPI[cot1]),FALSE),
IF(AND(teacher_type="R",career_stage="HP"),VLOOKUP($BF36,RHPI[],COLUMN(RHPI[cot1]),FALSE),
IF(AND(teacher_type="TB",career_stage="P"),VLOOKUP($BF36,TBPI[],COLUMN(TBPI[cot1]),FALSE),
IF(AND(teacher_type="TB",career_stage="HP"),VLOOKUP($BF36,TBHPI[],COLUMN(TBHPI[cot1]),FALSE),FALSE)))),
FALSE)),FALSE)</f>
        <v>0</v>
      </c>
      <c r="CZ36" s="443" t="b">
        <f t="shared" si="30"/>
        <v>0</v>
      </c>
      <c r="DA36" s="443" t="b" cm="1">
        <f t="array" ref="DA36">IFERROR(AND(U$12,IF(AND($G36,$D36="COI"),
IF(AND(teacher_type="R",career_stage="P"),VLOOKUP($BF36,RPI[],COLUMN(RPI[cot2]),FALSE),
IF(AND(teacher_type="R",career_stage="HP"),VLOOKUP($BF36,RHPI[],COLUMN(RHPI[cot2]),FALSE),
IF(AND(teacher_type="TB",career_stage="P"),VLOOKUP($BF36,TBPI[],COLUMN(TBPI[cot2]),FALSE),
IF(AND(teacher_type="TB",career_stage="HP"),VLOOKUP($BF36,TBHPI[],COLUMN(TBHPI[cot2]),FALSE),FALSE)))),
FALSE)),FALSE)</f>
        <v>1</v>
      </c>
      <c r="DB36" s="443" t="b">
        <f t="shared" si="31"/>
        <v>1</v>
      </c>
      <c r="DC36" s="443" t="b" cm="1">
        <f t="array" ref="DC36">IFERROR(AND(W$12,IF(AND($G36,$D36="COI"),
IF(AND(teacher_type="R",career_stage="P"),VLOOKUP($BF36,RPI[],COLUMN(RPI[cot3]),FALSE),
IF(AND(teacher_type="R",career_stage="HP"),VLOOKUP($BF36,RHPI[],COLUMN(RHPI[cot3]),FALSE),
IF(AND(teacher_type="TB",career_stage="P"),VLOOKUP($BF36,TBPI[],COLUMN(TBPI[cot3]),FALSE),
IF(AND(teacher_type="TB",career_stage="HP"),VLOOKUP($BF36,TBHPI[],COLUMN(TBHPI[cot3]),FALSE),FALSE)))),
FALSE)),FALSE)</f>
        <v>0</v>
      </c>
      <c r="DD36" s="443" t="b">
        <f t="shared" si="32"/>
        <v>0</v>
      </c>
      <c r="DE36" s="443" t="b" cm="1">
        <f t="array" ref="DE36">IFERROR(AND(Y$12,IF(AND($G36,$D36="COI"),
IF(AND(teacher_type="R",career_stage="P"),VLOOKUP($BF36,RPI[],COLUMN(RPI[cot4]),FALSE),
IF(AND(teacher_type="R",career_stage="HP"),VLOOKUP($BF36,RHPI[],COLUMN(RHPI[cot4]),FALSE),
IF(AND(teacher_type="TB",career_stage="P"),VLOOKUP($BF36,TBPI[],COLUMN(TBPI[cot4]),FALSE),
IF(AND(teacher_type="TB",career_stage="HP"),VLOOKUP($BF36,TBHPI[],COLUMN(TBHPI[cot4]),FALSE),FALSE)))),
FALSE)),FALSE)</f>
        <v>1</v>
      </c>
      <c r="DF36" s="443" t="b">
        <f t="shared" si="33"/>
        <v>1</v>
      </c>
      <c r="DG36" s="150">
        <f t="shared" si="34"/>
        <v>2</v>
      </c>
      <c r="DH36" s="154">
        <f>IF(AND(CY36,LOWER(TRIM(S$20))=LOWER(TRIM(data2!$U$35))),1,0) +
IF(AND(DA36,LOWER(TRIM(U$20))=LOWER(TRIM(data2!$U$35))),1,0) +
IF(AND(DC36,LOWER(TRIM(W$20))=LOWER(TRIM(data2!$U$35))),1,0) +
IF(AND(DE36,LOWER(TRIM(Y$20))=LOWER(TRIM(data2!$U$35))),1,0)</f>
        <v>0</v>
      </c>
      <c r="DJ36" s="154">
        <f t="shared" si="35"/>
        <v>2</v>
      </c>
    </row>
    <row r="37" spans="1:114" s="154" customFormat="1" ht="24.95" hidden="1" customHeight="1" x14ac:dyDescent="0.25">
      <c r="A37" s="156"/>
      <c r="B37" s="154">
        <v>16</v>
      </c>
      <c r="C37" s="150" t="str">
        <f>IFERROR(IF(AND(teacher_type="R",career_stage="P"),VLOOKUP(O37,RPI[],COLUMNS(RPI[[Strand]:[admin_selected_coi_ncoi]]),FALSE),IF(AND(teacher_type="R",career_stage="HP"),VLOOKUP(O37,RHPI[],COLUMNS(RHPI[[Strand]:[admin_selected_coi_ncoi]]),FALSE),IF(AND(teacher_type="TB",career_stage="P"),VLOOKUP(O37,TBPI[],COLUMNS(TBPI[[Strand]:[admin_selected_coi_ncoi]]),FALSE),IF(AND(teacher_type="TB",career_stage="HP"),VLOOKUP(O37,TBHPI[],COLUMNS(TBHPI[[Strand]:[admin_selected_coi_ncoi]]),FALSE),"NCOI")))),"NCOI")</f>
        <v>COI/NCOI</v>
      </c>
      <c r="D37" s="150" t="str">
        <f t="shared" si="10"/>
        <v/>
      </c>
      <c r="E37" s="150">
        <f>IFERROR(IF(AND(teacher_type="R",career_stage="P"),VLOOKUP($O37,RPI[[Strand]:[Domain]],COLUMNS(RPI[[Strand]:[Domain]]),FALSE),IF(AND(teacher_type="R",career_stage="HP"),VLOOKUP($O37,RHPI[[Strand]:[Domain]],COLUMNS(RHPI[[Strand]:[Domain]]),FALSE),IF(AND(teacher_type="TB",career_stage="P"),VLOOKUP($O37,TBPI[[Strand]:[Domain]],COLUMNS(TBPI[[Strand]:[Domain]]),FALSE),IF(AND(teacher_type="TB",career_stage="HP"),VLOOKUP($O37,TBHPI[[Strand]:[Domain]],COLUMNS(TBHPI[[Strand]:[Domain]]),FALSE),"")))),"")</f>
        <v>2</v>
      </c>
      <c r="F37" s="155" t="b">
        <f>AND(COUNTIFS($E$22:$E37,E37,$G$22:$G37,TRUE)=1,$G37)</f>
        <v>0</v>
      </c>
      <c r="G37" s="212" t="b">
        <f>IFERROR(IF(AND(teacher_type="R",career_stage="P"),VLOOKUP($O37,RPI[],COLUMNS(RPI[[Strand]:[Selected]]),FALSE),IF(AND(teacher_type="R",career_stage="HP"),VLOOKUP($O37,RHPI[],COLUMNS(RHPI[[Strand]:[Selected]]),FALSE),IF(AND(teacher_type="TB",career_stage="P"),VLOOKUP($O37,TBPI[],COLUMNS(TBPI[[Strand]:[Selected]]),FALSE),IF(AND(teacher_type="TB",career_stage="HP"),VLOOKUP($O37,TBHPI[],COLUMNS(TBHPI[[Strand]:[Selected]]),FALSE),FALSE)))),FALSE)</f>
        <v>0</v>
      </c>
      <c r="H37" s="156" t="b">
        <f>IFERROR(IF(AND(teacher_type="R",career_stage="P"),AND(COUNTIFS(RPS[Strand],$O37,RPS[QET],H$21)&gt;0,$G37),IF(AND(teacher_type="R",career_stage="HP"),AND(COUNTIFS(RHPS[Strand],$O37,RHPS[QET],H$21)&gt;0,$G37),IF(AND(teacher_type="TB",career_stage="P"),AND(COUNTIFS(TBPS[Strand],$O37,TBPS[QET],H$21)&gt;0,$G37),IF(AND(teacher_type="TB",career_stage="HP"),AND(COUNTIFS(TBHPS[Strand],$O37,TBHPS[QET],H$21)&gt;0,$G37),FALSE)))),FALSE)</f>
        <v>0</v>
      </c>
      <c r="I37" s="156" t="b">
        <f t="shared" si="11"/>
        <v>0</v>
      </c>
      <c r="J37" s="156" t="b">
        <f>IFERROR(IF(AND(teacher_type="R",career_stage="P"),AND(COUNTIFS(RPS[Strand],$O37,RPS[QET],J$21)&gt;0,$G37),IF(AND(teacher_type="R",career_stage="HP"),AND(COUNTIFS(RHPS[Strand],$O37,RHPS[QET],J$21)&gt;0,$G37),IF(AND(teacher_type="TB",career_stage="P"),AND(COUNTIFS(TBPS[Strand],$O37,TBPS[QET],J$21)&gt;0,$G37),IF(AND(teacher_type="TB",career_stage="HP"),AND(COUNTIFS(TBHPS[Strand],$O37,TBHPS[QET],J$21)&gt;0,$G37),FALSE)))),FALSE)</f>
        <v>0</v>
      </c>
      <c r="K37" s="156" t="b">
        <f>IFERROR(IF(AND(teacher_type="R",career_stage="P"),AND(COUNTIFS(RPS[Strand],$O37,RPS[QET],K$21)&gt;0,$G37),IF(AND(teacher_type="R",career_stage="HP"),AND(COUNTIFS(RHPS[Strand],$O37,RHPS[QET],K$21)&gt;0,$G37),IF(AND(teacher_type="TB",career_stage="P"),AND(COUNTIFS(TBPS[Strand],$O37,TBPS[QET],K$21)&gt;0,$G37),IF(AND(teacher_type="TB",career_stage="HP"),AND(COUNTIFS(TBHPS[Strand],$O37,TBHPS[QET],K$21)&gt;0,$G37),FALSE)))),FALSE)</f>
        <v>0</v>
      </c>
      <c r="L37" s="156" t="b">
        <f t="shared" si="12"/>
        <v>0</v>
      </c>
      <c r="M37" s="165" t="str">
        <f t="shared" si="13"/>
        <v/>
      </c>
      <c r="N37" s="48" t="str">
        <f>IF($G37,COUNTIF($G$22:$G37,TRUE),"")</f>
        <v/>
      </c>
      <c r="O37" s="48" t="str" cm="1">
        <f t="array" ref="O37">IFERROR(IF(AND(teacher_type="R",career_stage="P"),INDEX(RPI[Strand],$B37),IF(AND(teacher_type="R",career_stage="HP"),INDEX(RHPI[Strand],$B37),IF(AND(teacher_type="TB",career_stage="P"),INDEX(TBPI[Strand],$B37),IF(AND(teacher_type="TB",career_stage="HP"),INDEX(TBHPI[Strand],$B37),"")))),"")</f>
        <v>3.3.2</v>
      </c>
      <c r="P37" s="458"/>
      <c r="Q37" s="167">
        <f>IFERROR(IF(AND(teacher_type="R",career_stage="P"),VLOOKUP(O37,RPI[],COLUMNS(RPI[[Strand]:[Weight]]),FALSE), IF(AND(teacher_type="R",career_stage="HP"),VLOOKUP(O37,RHPI[],COLUMNS(RHPI[[Strand]:[Weight]]),FALSE), IF(AND(teacher_type="TB",career_stage="P"),VLOOKUP(O37,TBPI[],COLUMNS(TBPI[[Strand]:[Weight]]),FALSE), IF(AND(teacher_type="TB",career_stage="HP"),VLOOKUP(O37,TBHPI[],COLUMNS(TBHPI[[Strand]:[Weight]]),FALSE),0)))),0)</f>
        <v>0</v>
      </c>
      <c r="R37" s="168">
        <f>COUNTIFS($D$22:D37,"COI",$G$22:G37,TRUE)</f>
        <v>7</v>
      </c>
      <c r="S37" s="483"/>
      <c r="T37" s="169" t="str">
        <f>IFERROR(IF(LOWER(TRIM(S$20))=LOWER(TRIM(data2!$U$35)),"",IF(AND($G37,$D37="COI",S$12,CZ37),IF(OR(LOWER(TRIM(S$20))=LOWER(TRIM(data2!$U$36)),ISBLANK(S37)),1,IF(career_stage="P",VLOOKUP(S37,P_COT_vlookup,2,FALSE),IF(career_stage="HP",VLOOKUP(S37,HP_COT_vlookup,2,FALSE),""))),"")),"")</f>
        <v/>
      </c>
      <c r="U37" s="489"/>
      <c r="V37" s="170" t="str">
        <f>IFERROR(IF(LOWER(TRIM(U$20))=LOWER(TRIM(data2!$U$35)),"",IF(AND($G37,$D37="COI",U$12,DB37),IF(OR(LOWER(TRIM(U$20))=LOWER(TRIM(data2!$U$36)),ISBLANK(U37)),1,IF(career_stage="P",VLOOKUP(U37,P_COT_vlookup,2,FALSE),IF(career_stage="HP",VLOOKUP(U37,HP_COT_vlookup,2,FALSE),""))),"")),"")</f>
        <v/>
      </c>
      <c r="W37" s="483"/>
      <c r="X37" s="169" t="str">
        <f>IFERROR(IF(LOWER(TRIM(W$20))=LOWER(TRIM(data2!$U$35)),"",IF(AND($G37,$D37="COI",W$12,DD37),IF(OR(LOWER(TRIM(W$20))=LOWER(TRIM(data2!$U$36)),ISBLANK(W37)),1,IF(career_stage="P",VLOOKUP(W37,P_COT_vlookup,2,FALSE),IF(career_stage="HP",VLOOKUP(W37,HP_COT_vlookup,2,FALSE),""))),"")),"")</f>
        <v/>
      </c>
      <c r="Y37" s="489"/>
      <c r="Z37" s="170" t="str">
        <f>IFERROR(IF(LOWER(TRIM(Y$20))=LOWER(TRIM(data2!$U$35)),"",IF(AND($G37,$D37="COI",Y$12,DF37),IF(OR(LOWER(TRIM(Y$20))=LOWER(TRIM(data2!$U$36)),ISBLANK(Y37)),1,IF(career_stage="P",VLOOKUP(Y37,P_COT_vlookup,2,FALSE),IF(career_stage="HP",VLOOKUP(Y37,HP_COT_vlookup,2,FALSE),""))),"")),"")</f>
        <v/>
      </c>
      <c r="AA37" s="171">
        <f t="shared" si="14"/>
        <v>0</v>
      </c>
      <c r="AB37" s="471"/>
      <c r="AC37" s="473"/>
      <c r="AD37" s="473"/>
      <c r="AE37" s="49">
        <f t="shared" si="2"/>
        <v>0</v>
      </c>
      <c r="AF37" s="49">
        <f t="shared" si="3"/>
        <v>0</v>
      </c>
      <c r="AG37" s="172" t="str">
        <f t="shared" si="4"/>
        <v>Poor</v>
      </c>
      <c r="AI37" s="196" t="b">
        <f t="shared" si="5"/>
        <v>1</v>
      </c>
      <c r="AJ37" s="154" t="b">
        <v>1</v>
      </c>
      <c r="AK37" s="154" t="b">
        <v>1</v>
      </c>
      <c r="AL37" s="196" t="b">
        <f t="shared" si="15"/>
        <v>1</v>
      </c>
      <c r="AM37" s="154" t="b">
        <v>1</v>
      </c>
      <c r="AN37" s="196" t="b">
        <f t="shared" si="15"/>
        <v>1</v>
      </c>
      <c r="AO37" s="154" t="b">
        <v>1</v>
      </c>
      <c r="AP37" s="196" t="b">
        <f t="shared" si="15"/>
        <v>1</v>
      </c>
      <c r="AQ37" s="154" t="b">
        <v>1</v>
      </c>
      <c r="AR37" s="196" t="b">
        <f t="shared" si="15"/>
        <v>1</v>
      </c>
      <c r="AS37" s="154" t="b">
        <v>1</v>
      </c>
      <c r="AT37" s="154" t="b">
        <v>1</v>
      </c>
      <c r="AU37" s="196" t="b">
        <f t="shared" si="6"/>
        <v>1</v>
      </c>
      <c r="AV37" s="196" t="b">
        <f t="shared" si="7"/>
        <v>1</v>
      </c>
      <c r="AW37" s="196" t="b">
        <f t="shared" si="8"/>
        <v>1</v>
      </c>
      <c r="AX37" s="47" t="b">
        <v>1</v>
      </c>
      <c r="AY37" s="47" t="b">
        <v>1</v>
      </c>
      <c r="AZ37" s="47" t="b">
        <v>1</v>
      </c>
      <c r="BF37" s="154" t="str">
        <f t="shared" si="9"/>
        <v>3.3.2</v>
      </c>
      <c r="BG37" s="196" t="b" cm="1">
        <f t="array" ref="BG37">IFERROR(IF(OR(LOWER(TRIM(S$20))=LOWER(TRIM(data2!$U$35)),LOWER(TRIM(S$20))=LOWER(TRIM(data2!$U$36))),FALSE,AND(S$12,IF(AND($G37,$D37="COI"),
IF(AND(teacher_type="R",career_stage="P"),VLOOKUP($BF37,RPI[],COLUMN(RPI[cot1]),FALSE),
IF(AND(teacher_type="R",career_stage="HP"),VLOOKUP($BF37,RHPI[],COLUMN(RHPI[cot1]),FALSE),
IF(AND(teacher_type="TB",career_stage="P"),VLOOKUP($BF37,TBPI[],COLUMN(TBPI[cot1]),FALSE),
IF(AND(teacher_type="TB",career_stage="HP"),VLOOKUP($BF37,TBHPI[],COLUMN(TBHPI[cot1]),FALSE),FALSE)))),
FALSE))),FALSE)</f>
        <v>0</v>
      </c>
      <c r="BH37" s="154" t="b">
        <v>0</v>
      </c>
      <c r="BI37" s="196" t="b" cm="1">
        <f t="array" ref="BI37">IFERROR(IF(OR(LOWER(TRIM(U$20))=LOWER(TRIM(data2!$U$35)),LOWER(TRIM(U$20))=LOWER(TRIM(data2!$U$36))),FALSE,AND(U$12,IF(AND($G37,$D37="COI"),
IF(AND(teacher_type="R",career_stage="P"),VLOOKUP($BF37,RPI[],COLUMN(RPI[cot2]),FALSE),
IF(AND(teacher_type="R",career_stage="HP"),VLOOKUP($BF37,RHPI[],COLUMN(RHPI[cot2]),FALSE),
IF(AND(teacher_type="TB",career_stage="P"),VLOOKUP($BF37,TBPI[],COLUMN(TBPI[cot2]),FALSE),
IF(AND(teacher_type="TB",career_stage="HP"),VLOOKUP($BF37,TBHPI[],COLUMN(TBHPI[cot2]),FALSE),FALSE)))),
FALSE))),FALSE)</f>
        <v>0</v>
      </c>
      <c r="BJ37" s="154" t="b">
        <v>0</v>
      </c>
      <c r="BK37" s="196" t="b" cm="1">
        <f t="array" ref="BK37">IFERROR(IF(OR(LOWER(TRIM(W$20))=LOWER(TRIM(data2!$U$35)),LOWER(TRIM(W$20))=LOWER(TRIM(data2!$U$36))),FALSE,AND(W$12,IF(AND($G37,$D37="COI"),
IF(AND(teacher_type="R",career_stage="P"),VLOOKUP($BF37,RPI[],COLUMN(RPI[cot3]),FALSE),
IF(AND(teacher_type="R",career_stage="HP"),VLOOKUP($BF37,RHPI[],COLUMN(RHPI[cot3]),FALSE),
IF(AND(teacher_type="TB",career_stage="P"),VLOOKUP($BF37,TBPI[],COLUMN(TBPI[cot3]),FALSE),
IF(AND(teacher_type="TB",career_stage="HP"),VLOOKUP($BF37,TBHPI[],COLUMN(TBHPI[cot3]),FALSE),FALSE)))),
FALSE))),FALSE)</f>
        <v>0</v>
      </c>
      <c r="BL37" s="154" t="b">
        <v>0</v>
      </c>
      <c r="BM37" s="196" t="b" cm="1">
        <f t="array" ref="BM37">IFERROR(IF(OR(LOWER(TRIM(Y$20))=LOWER(TRIM(data2!$U$35)),LOWER(TRIM(Y$20))=LOWER(TRIM(data2!$U$36))),FALSE,AND(Y$12,IF(AND($G37,$D37="COI"),
IF(AND(teacher_type="R",career_stage="P"),VLOOKUP($BF37,RPI[],COLUMN(RPI[cot4]),FALSE),
IF(AND(teacher_type="R",career_stage="HP"),VLOOKUP($BF37,RHPI[],COLUMN(RHPI[cot4]),FALSE),
IF(AND(teacher_type="TB",career_stage="P"),VLOOKUP($BF37,TBPI[],COLUMN(TBPI[cot4]),FALSE),
IF(AND(teacher_type="TB",career_stage="HP"),VLOOKUP($BF37,TBHPI[],COLUMN(TBHPI[cot4]),FALSE),FALSE)))),
FALSE))),FALSE)</f>
        <v>0</v>
      </c>
      <c r="BN37" s="154" t="b">
        <v>0</v>
      </c>
      <c r="BO37" s="150">
        <f t="shared" si="16"/>
        <v>0</v>
      </c>
      <c r="BP37" s="196" t="b">
        <f t="shared" si="17"/>
        <v>0</v>
      </c>
      <c r="BQ37" s="196" t="b">
        <f>IFERROR(IF(OR(NOT(CZ37),LOWER(TRIM(S$20))=LOWER(TRIM(data2!$U$35))),TRUE,IF(AND(CZ37,LOWER(TRIM(S$20))=LOWER(TRIM(data2!$U$36))),FALSE)),FALSE)</f>
        <v>1</v>
      </c>
      <c r="BR37" s="196" t="b">
        <f t="shared" si="18"/>
        <v>0</v>
      </c>
      <c r="BS37" s="196" t="b">
        <f>IFERROR(IF(OR(NOT(DB37),LOWER(TRIM(U$20))=LOWER(TRIM(data2!$U$35))),TRUE,IF(AND(DB37,LOWER(TRIM(U$20))=LOWER(TRIM(data2!$U$36))),FALSE)),FALSE)</f>
        <v>1</v>
      </c>
      <c r="BT37" s="196" t="b">
        <f t="shared" si="19"/>
        <v>0</v>
      </c>
      <c r="BU37" s="196" t="b">
        <f>IFERROR(IF(OR(NOT(DD37),LOWER(TRIM(W$20))=LOWER(TRIM(data2!$U$35))),TRUE,IF(AND(DD37,LOWER(TRIM(W$20))=LOWER(TRIM(data2!$U$36))),FALSE)),FALSE)</f>
        <v>1</v>
      </c>
      <c r="BV37" s="196" t="b">
        <f t="shared" si="20"/>
        <v>0</v>
      </c>
      <c r="BW37" s="196" t="b">
        <f>IFERROR(IF(OR(NOT(DF37),LOWER(TRIM(Y$20))=LOWER(TRIM(data2!$U$35))),TRUE,IF(AND(DF37,LOWER(TRIM(Y$20))=LOWER(TRIM(data2!$U$36))),FALSE)),FALSE)</f>
        <v>1</v>
      </c>
      <c r="BY37" s="154" t="str">
        <f t="shared" si="21"/>
        <v/>
      </c>
      <c r="BZ37" s="154" t="str">
        <f t="shared" si="22"/>
        <v/>
      </c>
      <c r="CA37" s="154" t="str">
        <f t="shared" si="23"/>
        <v/>
      </c>
      <c r="CB37" s="154" t="str">
        <f t="shared" si="24"/>
        <v>CE37:CI37</v>
      </c>
      <c r="CC37" s="154" t="str">
        <f t="shared" si="25"/>
        <v>CK37:CO37</v>
      </c>
      <c r="CD37" s="154" t="str">
        <f t="shared" si="26"/>
        <v>CQ37:CU37</v>
      </c>
      <c r="CE37" s="359" cm="1">
        <f t="array" ref="CE37">IFERROR(IF($BY37&lt;&gt;"",
IF(AND(teacher_type="R",career_stage="P"),
    IF(INDEX(RPS[[Outstanding]:[Poor]],MATCH($BY37,RPS[[helper]:[helper]],0),CE$19)&lt;&gt;"",CE$20,""),
IF(AND(teacher_type="R",career_stage="HP"),
    IF(INDEX(RHPS[[Outstanding]:[Poor]],MATCH($BY37,RHPS[[helper]:[helper]],0),CE$19)&lt;&gt;"",CE$20,""),
IF(AND(teacher_type="TB",career_stage="P"),
    IF(INDEX(TBPS[[Outstanding]:[Poor]],MATCH($BY37,TBPS[[helper]:[helper]],0),CE$19)&lt;&gt;"",CE$20,""),
IF(AND(teacher_type="TB",career_stage="HP"),
    IF(INDEX(TBHPS[[Outstanding]:[Poor]],MATCH($BY37,TBHPS[[helper]:[helper]],0),CE$19)&lt;&gt;"",CE$20,""),
CE$20)))),
CE$20),CE$20)</f>
        <v>5</v>
      </c>
      <c r="CF37" s="359" cm="1">
        <f t="array" ref="CF37">IFERROR(IF($BY37&lt;&gt;"",
IF(AND(teacher_type="R",career_stage="P"),
    IF(INDEX(RPS[[Outstanding]:[Poor]],MATCH($BY37,RPS[[helper]:[helper]],0),CF$19)&lt;&gt;"",CF$20,""),
IF(AND(teacher_type="R",career_stage="HP"),
    IF(INDEX(RHPS[[Outstanding]:[Poor]],MATCH($BY37,RHPS[[helper]:[helper]],0),CF$19)&lt;&gt;"",CF$20,""),
IF(AND(teacher_type="TB",career_stage="P"),
    IF(INDEX(TBPS[[Outstanding]:[Poor]],MATCH($BY37,TBPS[[helper]:[helper]],0),CF$19)&lt;&gt;"",CF$20,""),
IF(AND(teacher_type="TB",career_stage="HP"),
    IF(INDEX(TBHPS[[Outstanding]:[Poor]],MATCH($BY37,TBHPS[[helper]:[helper]],0),CF$19)&lt;&gt;"",CF$20,""),
CF$20)))),
CF$20),CF$20)</f>
        <v>4</v>
      </c>
      <c r="CG37" s="359" cm="1">
        <f t="array" ref="CG37">IFERROR(IF($BY37&lt;&gt;"",
IF(AND(teacher_type="R",career_stage="P"),
    IF(INDEX(RPS[[Outstanding]:[Poor]],MATCH($BY37,RPS[[helper]:[helper]],0),CG$19)&lt;&gt;"",CG$20,""),
IF(AND(teacher_type="R",career_stage="HP"),
    IF(INDEX(RHPS[[Outstanding]:[Poor]],MATCH($BY37,RHPS[[helper]:[helper]],0),CG$19)&lt;&gt;"",CG$20,""),
IF(AND(teacher_type="TB",career_stage="P"),
    IF(INDEX(TBPS[[Outstanding]:[Poor]],MATCH($BY37,TBPS[[helper]:[helper]],0),CG$19)&lt;&gt;"",CG$20,""),
IF(AND(teacher_type="TB",career_stage="HP"),
    IF(INDEX(TBHPS[[Outstanding]:[Poor]],MATCH($BY37,TBHPS[[helper]:[helper]],0),CG$19)&lt;&gt;"",CG$20,""),
CG$20)))),
CG$20),CG$20)</f>
        <v>3</v>
      </c>
      <c r="CH37" s="359" cm="1">
        <f t="array" ref="CH37">IFERROR(IF($BY37&lt;&gt;"",
IF(AND(teacher_type="R",career_stage="P"),
    IF(INDEX(RPS[[Outstanding]:[Poor]],MATCH($BY37,RPS[[helper]:[helper]],0),CH$19)&lt;&gt;"",CH$20,""),
IF(AND(teacher_type="R",career_stage="HP"),
    IF(INDEX(RHPS[[Outstanding]:[Poor]],MATCH($BY37,RHPS[[helper]:[helper]],0),CH$19)&lt;&gt;"",CH$20,""),
IF(AND(teacher_type="TB",career_stage="P"),
    IF(INDEX(TBPS[[Outstanding]:[Poor]],MATCH($BY37,TBPS[[helper]:[helper]],0),CH$19)&lt;&gt;"",CH$20,""),
IF(AND(teacher_type="TB",career_stage="HP"),
    IF(INDEX(TBHPS[[Outstanding]:[Poor]],MATCH($BY37,TBHPS[[helper]:[helper]],0),CH$19)&lt;&gt;"",CH$20,""),
CH$20)))),
CH$20),CH$20)</f>
        <v>2</v>
      </c>
      <c r="CI37" s="359" cm="1">
        <f t="array" ref="CI37">IFERROR(IF($BY37&lt;&gt;"",
IF(AND(teacher_type="R",career_stage="P"),
    IF(INDEX(RPS[[Outstanding]:[Poor]],MATCH($BY37,RPS[[helper]:[helper]],0),CI$19)&lt;&gt;"",CI$20,""),
IF(AND(teacher_type="R",career_stage="HP"),
    IF(INDEX(RHPS[[Outstanding]:[Poor]],MATCH($BY37,RHPS[[helper]:[helper]],0),CI$19)&lt;&gt;"",CI$20,""),
IF(AND(teacher_type="TB",career_stage="P"),
    IF(INDEX(TBPS[[Outstanding]:[Poor]],MATCH($BY37,TBPS[[helper]:[helper]],0),CI$19)&lt;&gt;"",CI$20,""),
IF(AND(teacher_type="TB",career_stage="HP"),
    IF(INDEX(TBHPS[[Outstanding]:[Poor]],MATCH($BY37,TBHPS[[helper]:[helper]],0),CI$19)&lt;&gt;"",CI$20,""),
CI$20)))),
CI$20),CI$20)</f>
        <v>1</v>
      </c>
      <c r="CJ37" s="360">
        <f t="shared" si="27"/>
        <v>5</v>
      </c>
      <c r="CK37" s="359" cm="1">
        <f t="array" ref="CK37">IFERROR(IF($BZ37&lt;&gt;"",
IF(AND(teacher_type="R",career_stage="P"),
    IF(INDEX(RPS[[Outstanding]:[Poor]],MATCH($BZ37,RPS[[helper]:[helper]],0),CK$19)&lt;&gt;"",CK$20,""),
IF(AND(teacher_type="R",career_stage="HP"),
    IF(INDEX(RHPS[[Outstanding]:[Poor]],MATCH($BZ37,RHPS[[helper]:[helper]],0),CK$19)&lt;&gt;"",CK$20,""),
IF(AND(teacher_type="TB",career_stage="P"),
    IF(INDEX(TBPS[[Outstanding]:[Poor]],MATCH($BZ37,TBPS[[helper]:[helper]],0),CK$19)&lt;&gt;"",CK$20,""),
IF(AND(teacher_type="TB",career_stage="HP"),
    IF(INDEX(TBHPS[[Outstanding]:[Poor]],MATCH($BZ37,TBHPS[[helper]:[helper]],0),CK$19)&lt;&gt;"",CK$20,""),
CK$20)))),
CK$20),CK$20)</f>
        <v>5</v>
      </c>
      <c r="CL37" s="359" cm="1">
        <f t="array" ref="CL37">IFERROR(IF($BZ37&lt;&gt;"",
IF(AND(teacher_type="R",career_stage="P"),
    IF(INDEX(RPS[[Outstanding]:[Poor]],MATCH($BZ37,RPS[[helper]:[helper]],0),CL$19)&lt;&gt;"",CL$20,""),
IF(AND(teacher_type="R",career_stage="HP"),
    IF(INDEX(RHPS[[Outstanding]:[Poor]],MATCH($BZ37,RHPS[[helper]:[helper]],0),CL$19)&lt;&gt;"",CL$20,""),
IF(AND(teacher_type="TB",career_stage="P"),
    IF(INDEX(TBPS[[Outstanding]:[Poor]],MATCH($BZ37,TBPS[[helper]:[helper]],0),CL$19)&lt;&gt;"",CL$20,""),
IF(AND(teacher_type="TB",career_stage="HP"),
    IF(INDEX(TBHPS[[Outstanding]:[Poor]],MATCH($BZ37,TBHPS[[helper]:[helper]],0),CL$19)&lt;&gt;"",CL$20,""),
CL$20)))),
CL$20),CL$20)</f>
        <v>4</v>
      </c>
      <c r="CM37" s="359" cm="1">
        <f t="array" ref="CM37">IFERROR(IF($BZ37&lt;&gt;"",
IF(AND(teacher_type="R",career_stage="P"),
    IF(INDEX(RPS[[Outstanding]:[Poor]],MATCH($BZ37,RPS[[helper]:[helper]],0),CM$19)&lt;&gt;"",CM$20,""),
IF(AND(teacher_type="R",career_stage="HP"),
    IF(INDEX(RHPS[[Outstanding]:[Poor]],MATCH($BZ37,RHPS[[helper]:[helper]],0),CM$19)&lt;&gt;"",CM$20,""),
IF(AND(teacher_type="TB",career_stage="P"),
    IF(INDEX(TBPS[[Outstanding]:[Poor]],MATCH($BZ37,TBPS[[helper]:[helper]],0),CM$19)&lt;&gt;"",CM$20,""),
IF(AND(teacher_type="TB",career_stage="HP"),
    IF(INDEX(TBHPS[[Outstanding]:[Poor]],MATCH($BZ37,TBHPS[[helper]:[helper]],0),CM$19)&lt;&gt;"",CM$20,""),
CM$20)))),
CM$20),CM$20)</f>
        <v>3</v>
      </c>
      <c r="CN37" s="359" cm="1">
        <f t="array" ref="CN37">IFERROR(IF($BZ37&lt;&gt;"",
IF(AND(teacher_type="R",career_stage="P"),
    IF(INDEX(RPS[[Outstanding]:[Poor]],MATCH($BZ37,RPS[[helper]:[helper]],0),CN$19)&lt;&gt;"",CN$20,""),
IF(AND(teacher_type="R",career_stage="HP"),
    IF(INDEX(RHPS[[Outstanding]:[Poor]],MATCH($BZ37,RHPS[[helper]:[helper]],0),CN$19)&lt;&gt;"",CN$20,""),
IF(AND(teacher_type="TB",career_stage="P"),
    IF(INDEX(TBPS[[Outstanding]:[Poor]],MATCH($BZ37,TBPS[[helper]:[helper]],0),CN$19)&lt;&gt;"",CN$20,""),
IF(AND(teacher_type="TB",career_stage="HP"),
    IF(INDEX(TBHPS[[Outstanding]:[Poor]],MATCH($BZ37,TBHPS[[helper]:[helper]],0),CN$19)&lt;&gt;"",CN$20,""),
CN$20)))),
CN$20),CN$20)</f>
        <v>2</v>
      </c>
      <c r="CO37" s="359" cm="1">
        <f t="array" ref="CO37">IFERROR(IF($BZ37&lt;&gt;"",
IF(AND(teacher_type="R",career_stage="P"),
    IF(INDEX(RPS[[Outstanding]:[Poor]],MATCH($BZ37,RPS[[helper]:[helper]],0),CO$19)&lt;&gt;"",CO$20,""),
IF(AND(teacher_type="R",career_stage="HP"),
    IF(INDEX(RHPS[[Outstanding]:[Poor]],MATCH($BZ37,RHPS[[helper]:[helper]],0),CO$19)&lt;&gt;"",CO$20,""),
IF(AND(teacher_type="TB",career_stage="P"),
    IF(INDEX(TBPS[[Outstanding]:[Poor]],MATCH($BZ37,TBPS[[helper]:[helper]],0),CO$19)&lt;&gt;"",CO$20,""),
IF(AND(teacher_type="TB",career_stage="HP"),
    IF(INDEX(TBHPS[[Outstanding]:[Poor]],MATCH($BZ37,TBHPS[[helper]:[helper]],0),CO$19)&lt;&gt;"",CO$20,""),
CO$20)))),
CO$20),CO$20)</f>
        <v>1</v>
      </c>
      <c r="CP37" s="360">
        <f t="shared" si="28"/>
        <v>5</v>
      </c>
      <c r="CQ37" s="359" cm="1">
        <f t="array" ref="CQ37">IFERROR(IF($CA37&lt;&gt;"",
IF(AND(teacher_type="R",career_stage="P"),
    IF(INDEX(RPS[[Outstanding]:[Poor]],MATCH($CA37,RPS[[helper]:[helper]],0),CQ$19)&lt;&gt;"",CQ$20,""),
IF(AND(teacher_type="R",career_stage="HP"),
    IF(INDEX(RHPS[[Outstanding]:[Poor]],MATCH($CA37,RHPS[[helper]:[helper]],0),CQ$19)&lt;&gt;"",CQ$20,""),
IF(AND(teacher_type="TB",career_stage="P"),
    IF(INDEX(TBPS[[Outstanding]:[Poor]],MATCH($CA37,TBPS[[helper]:[helper]],0),CQ$19)&lt;&gt;"",CQ$20,""),
IF(AND(teacher_type="TB",career_stage="HP"),
    IF(INDEX(TBHPS[[Outstanding]:[Poor]],MATCH($CA37,TBHPS[[helper]:[helper]],0),CQ$19)&lt;&gt;"",CQ$20,""),
CQ$20)))),
CQ$20),CQ$20)</f>
        <v>5</v>
      </c>
      <c r="CR37" s="359" cm="1">
        <f t="array" ref="CR37">IFERROR(IF($CA37&lt;&gt;"",
IF(AND(teacher_type="R",career_stage="P"),
    IF(INDEX(RPS[[Outstanding]:[Poor]],MATCH($CA37,RPS[[helper]:[helper]],0),CR$19)&lt;&gt;"",CR$20,""),
IF(AND(teacher_type="R",career_stage="HP"),
    IF(INDEX(RHPS[[Outstanding]:[Poor]],MATCH($CA37,RHPS[[helper]:[helper]],0),CR$19)&lt;&gt;"",CR$20,""),
IF(AND(teacher_type="TB",career_stage="P"),
    IF(INDEX(TBPS[[Outstanding]:[Poor]],MATCH($CA37,TBPS[[helper]:[helper]],0),CR$19)&lt;&gt;"",CR$20,""),
IF(AND(teacher_type="TB",career_stage="HP"),
    IF(INDEX(TBHPS[[Outstanding]:[Poor]],MATCH($CA37,TBHPS[[helper]:[helper]],0),CR$19)&lt;&gt;"",CR$20,""),
CR$20)))),
CR$20),CR$20)</f>
        <v>4</v>
      </c>
      <c r="CS37" s="359" cm="1">
        <f t="array" ref="CS37">IFERROR(IF($CA37&lt;&gt;"",
IF(AND(teacher_type="R",career_stage="P"),
    IF(INDEX(RPS[[Outstanding]:[Poor]],MATCH($CA37,RPS[[helper]:[helper]],0),CS$19)&lt;&gt;"",CS$20,""),
IF(AND(teacher_type="R",career_stage="HP"),
    IF(INDEX(RHPS[[Outstanding]:[Poor]],MATCH($CA37,RHPS[[helper]:[helper]],0),CS$19)&lt;&gt;"",CS$20,""),
IF(AND(teacher_type="TB",career_stage="P"),
    IF(INDEX(TBPS[[Outstanding]:[Poor]],MATCH($CA37,TBPS[[helper]:[helper]],0),CS$19)&lt;&gt;"",CS$20,""),
IF(AND(teacher_type="TB",career_stage="HP"),
    IF(INDEX(TBHPS[[Outstanding]:[Poor]],MATCH($CA37,TBHPS[[helper]:[helper]],0),CS$19)&lt;&gt;"",CS$20,""),
CS$20)))),
CS$20),CS$20)</f>
        <v>3</v>
      </c>
      <c r="CT37" s="359" cm="1">
        <f t="array" ref="CT37">IFERROR(IF($CA37&lt;&gt;"",
IF(AND(teacher_type="R",career_stage="P"),
    IF(INDEX(RPS[[Outstanding]:[Poor]],MATCH($CA37,RPS[[helper]:[helper]],0),CT$19)&lt;&gt;"",CT$20,""),
IF(AND(teacher_type="R",career_stage="HP"),
    IF(INDEX(RHPS[[Outstanding]:[Poor]],MATCH($CA37,RHPS[[helper]:[helper]],0),CT$19)&lt;&gt;"",CT$20,""),
IF(AND(teacher_type="TB",career_stage="P"),
    IF(INDEX(TBPS[[Outstanding]:[Poor]],MATCH($CA37,TBPS[[helper]:[helper]],0),CT$19)&lt;&gt;"",CT$20,""),
IF(AND(teacher_type="TB",career_stage="HP"),
    IF(INDEX(TBHPS[[Outstanding]:[Poor]],MATCH($CA37,TBHPS[[helper]:[helper]],0),CT$19)&lt;&gt;"",CT$20,""),
CT$20)))),
CT$20),CT$20)</f>
        <v>2</v>
      </c>
      <c r="CU37" s="359" cm="1">
        <f t="array" ref="CU37">IFERROR(IF($CA37&lt;&gt;"",
IF(AND(teacher_type="R",career_stage="P"),
    IF(INDEX(RPS[[Outstanding]:[Poor]],MATCH($CA37,RPS[[helper]:[helper]],0),CU$19)&lt;&gt;"",CU$20,""),
IF(AND(teacher_type="R",career_stage="HP"),
    IF(INDEX(RHPS[[Outstanding]:[Poor]],MATCH($CA37,RHPS[[helper]:[helper]],0),CU$19)&lt;&gt;"",CU$20,""),
IF(AND(teacher_type="TB",career_stage="P"),
    IF(INDEX(TBPS[[Outstanding]:[Poor]],MATCH($CA37,TBPS[[helper]:[helper]],0),CU$19)&lt;&gt;"",CU$20,""),
IF(AND(teacher_type="TB",career_stage="HP"),
    IF(INDEX(TBHPS[[Outstanding]:[Poor]],MATCH($CA37,TBHPS[[helper]:[helper]],0),CU$19)&lt;&gt;"",CU$20,""),
CU$20)))),
CU$20),CU$20)</f>
        <v>1</v>
      </c>
      <c r="CV37" s="360">
        <f t="shared" si="29"/>
        <v>5</v>
      </c>
      <c r="CY37" s="443" t="b" cm="1">
        <f t="array" ref="CY37">IFERROR(AND(S$12,IF(AND($G37,$D37="COI"),
IF(AND(teacher_type="R",career_stage="P"),VLOOKUP($BF37,RPI[],COLUMN(RPI[cot1]),FALSE),
IF(AND(teacher_type="R",career_stage="HP"),VLOOKUP($BF37,RHPI[],COLUMN(RHPI[cot1]),FALSE),
IF(AND(teacher_type="TB",career_stage="P"),VLOOKUP($BF37,TBPI[],COLUMN(TBPI[cot1]),FALSE),
IF(AND(teacher_type="TB",career_stage="HP"),VLOOKUP($BF37,TBHPI[],COLUMN(TBHPI[cot1]),FALSE),FALSE)))),
FALSE)),FALSE)</f>
        <v>0</v>
      </c>
      <c r="CZ37" s="443" t="b">
        <f t="shared" si="30"/>
        <v>0</v>
      </c>
      <c r="DA37" s="443" t="b" cm="1">
        <f t="array" ref="DA37">IFERROR(AND(U$12,IF(AND($G37,$D37="COI"),
IF(AND(teacher_type="R",career_stage="P"),VLOOKUP($BF37,RPI[],COLUMN(RPI[cot2]),FALSE),
IF(AND(teacher_type="R",career_stage="HP"),VLOOKUP($BF37,RHPI[],COLUMN(RHPI[cot2]),FALSE),
IF(AND(teacher_type="TB",career_stage="P"),VLOOKUP($BF37,TBPI[],COLUMN(TBPI[cot2]),FALSE),
IF(AND(teacher_type="TB",career_stage="HP"),VLOOKUP($BF37,TBHPI[],COLUMN(TBHPI[cot2]),FALSE),FALSE)))),
FALSE)),FALSE)</f>
        <v>0</v>
      </c>
      <c r="DB37" s="443" t="b">
        <f t="shared" si="31"/>
        <v>0</v>
      </c>
      <c r="DC37" s="443" t="b" cm="1">
        <f t="array" ref="DC37">IFERROR(AND(W$12,IF(AND($G37,$D37="COI"),
IF(AND(teacher_type="R",career_stage="P"),VLOOKUP($BF37,RPI[],COLUMN(RPI[cot3]),FALSE),
IF(AND(teacher_type="R",career_stage="HP"),VLOOKUP($BF37,RHPI[],COLUMN(RHPI[cot3]),FALSE),
IF(AND(teacher_type="TB",career_stage="P"),VLOOKUP($BF37,TBPI[],COLUMN(TBPI[cot3]),FALSE),
IF(AND(teacher_type="TB",career_stage="HP"),VLOOKUP($BF37,TBHPI[],COLUMN(TBHPI[cot3]),FALSE),FALSE)))),
FALSE)),FALSE)</f>
        <v>0</v>
      </c>
      <c r="DD37" s="443" t="b">
        <f t="shared" si="32"/>
        <v>0</v>
      </c>
      <c r="DE37" s="443" t="b" cm="1">
        <f t="array" ref="DE37">IFERROR(AND(Y$12,IF(AND($G37,$D37="COI"),
IF(AND(teacher_type="R",career_stage="P"),VLOOKUP($BF37,RPI[],COLUMN(RPI[cot4]),FALSE),
IF(AND(teacher_type="R",career_stage="HP"),VLOOKUP($BF37,RHPI[],COLUMN(RHPI[cot4]),FALSE),
IF(AND(teacher_type="TB",career_stage="P"),VLOOKUP($BF37,TBPI[],COLUMN(TBPI[cot4]),FALSE),
IF(AND(teacher_type="TB",career_stage="HP"),VLOOKUP($BF37,TBHPI[],COLUMN(TBHPI[cot4]),FALSE),FALSE)))),
FALSE)),FALSE)</f>
        <v>0</v>
      </c>
      <c r="DF37" s="443" t="b">
        <f t="shared" si="33"/>
        <v>0</v>
      </c>
      <c r="DG37" s="150">
        <f t="shared" si="34"/>
        <v>0</v>
      </c>
      <c r="DH37" s="154">
        <f>IF(AND(CY37,LOWER(TRIM(S$20))=LOWER(TRIM(data2!$U$35))),1,0) +
IF(AND(DA37,LOWER(TRIM(U$20))=LOWER(TRIM(data2!$U$35))),1,0) +
IF(AND(DC37,LOWER(TRIM(W$20))=LOWER(TRIM(data2!$U$35))),1,0) +
IF(AND(DE37,LOWER(TRIM(Y$20))=LOWER(TRIM(data2!$U$35))),1,0)</f>
        <v>0</v>
      </c>
      <c r="DJ37" s="154">
        <f t="shared" si="35"/>
        <v>0</v>
      </c>
    </row>
    <row r="38" spans="1:114" s="154" customFormat="1" ht="24.95" hidden="1" customHeight="1" x14ac:dyDescent="0.25">
      <c r="A38" s="156"/>
      <c r="B38" s="154">
        <v>17</v>
      </c>
      <c r="C38" s="150" t="str">
        <f>IFERROR(IF(AND(teacher_type="R",career_stage="P"),VLOOKUP(O38,RPI[],COLUMNS(RPI[[Strand]:[admin_selected_coi_ncoi]]),FALSE),IF(AND(teacher_type="R",career_stage="HP"),VLOOKUP(O38,RHPI[],COLUMNS(RHPI[[Strand]:[admin_selected_coi_ncoi]]),FALSE),IF(AND(teacher_type="TB",career_stage="P"),VLOOKUP(O38,TBPI[],COLUMNS(TBPI[[Strand]:[admin_selected_coi_ncoi]]),FALSE),IF(AND(teacher_type="TB",career_stage="HP"),VLOOKUP(O38,TBHPI[],COLUMNS(TBHPI[[Strand]:[admin_selected_coi_ncoi]]),FALSE),"NCOI")))),"NCOI")</f>
        <v>COI</v>
      </c>
      <c r="D38" s="150" t="str">
        <f t="shared" si="10"/>
        <v/>
      </c>
      <c r="E38" s="150">
        <f>IFERROR(IF(AND(teacher_type="R",career_stage="P"),VLOOKUP($O38,RPI[[Strand]:[Domain]],COLUMNS(RPI[[Strand]:[Domain]]),FALSE),IF(AND(teacher_type="R",career_stage="HP"),VLOOKUP($O38,RHPI[[Strand]:[Domain]],COLUMNS(RHPI[[Strand]:[Domain]]),FALSE),IF(AND(teacher_type="TB",career_stage="P"),VLOOKUP($O38,TBPI[[Strand]:[Domain]],COLUMNS(TBPI[[Strand]:[Domain]]),FALSE),IF(AND(teacher_type="TB",career_stage="HP"),VLOOKUP($O38,TBHPI[[Strand]:[Domain]],COLUMNS(TBHPI[[Strand]:[Domain]]),FALSE),"")))),"")</f>
        <v>2</v>
      </c>
      <c r="F38" s="155" t="b">
        <f>AND(COUNTIFS($E$22:$E38,E38,$G$22:$G38,TRUE)=1,$G38)</f>
        <v>0</v>
      </c>
      <c r="G38" s="212" t="b">
        <f>IFERROR(IF(AND(teacher_type="R",career_stage="P"),VLOOKUP($O38,RPI[],COLUMNS(RPI[[Strand]:[Selected]]),FALSE),IF(AND(teacher_type="R",career_stage="HP"),VLOOKUP($O38,RHPI[],COLUMNS(RHPI[[Strand]:[Selected]]),FALSE),IF(AND(teacher_type="TB",career_stage="P"),VLOOKUP($O38,TBPI[],COLUMNS(TBPI[[Strand]:[Selected]]),FALSE),IF(AND(teacher_type="TB",career_stage="HP"),VLOOKUP($O38,TBHPI[],COLUMNS(TBHPI[[Strand]:[Selected]]),FALSE),FALSE)))),FALSE)</f>
        <v>0</v>
      </c>
      <c r="H38" s="156" t="b">
        <f>IFERROR(IF(AND(teacher_type="R",career_stage="P"),AND(COUNTIFS(RPS[Strand],$O38,RPS[QET],H$21)&gt;0,$G38),IF(AND(teacher_type="R",career_stage="HP"),AND(COUNTIFS(RHPS[Strand],$O38,RHPS[QET],H$21)&gt;0,$G38),IF(AND(teacher_type="TB",career_stage="P"),AND(COUNTIFS(TBPS[Strand],$O38,TBPS[QET],H$21)&gt;0,$G38),IF(AND(teacher_type="TB",career_stage="HP"),AND(COUNTIFS(TBHPS[Strand],$O38,TBHPS[QET],H$21)&gt;0,$G38),FALSE)))),FALSE)</f>
        <v>0</v>
      </c>
      <c r="I38" s="156" t="b">
        <f t="shared" si="11"/>
        <v>0</v>
      </c>
      <c r="J38" s="156" t="b">
        <f>IFERROR(IF(AND(teacher_type="R",career_stage="P"),AND(COUNTIFS(RPS[Strand],$O38,RPS[QET],J$21)&gt;0,$G38),IF(AND(teacher_type="R",career_stage="HP"),AND(COUNTIFS(RHPS[Strand],$O38,RHPS[QET],J$21)&gt;0,$G38),IF(AND(teacher_type="TB",career_stage="P"),AND(COUNTIFS(TBPS[Strand],$O38,TBPS[QET],J$21)&gt;0,$G38),IF(AND(teacher_type="TB",career_stage="HP"),AND(COUNTIFS(TBHPS[Strand],$O38,TBHPS[QET],J$21)&gt;0,$G38),FALSE)))),FALSE)</f>
        <v>0</v>
      </c>
      <c r="K38" s="156" t="b">
        <f>IFERROR(IF(AND(teacher_type="R",career_stage="P"),AND(COUNTIFS(RPS[Strand],$O38,RPS[QET],K$21)&gt;0,$G38),IF(AND(teacher_type="R",career_stage="HP"),AND(COUNTIFS(RHPS[Strand],$O38,RHPS[QET],K$21)&gt;0,$G38),IF(AND(teacher_type="TB",career_stage="P"),AND(COUNTIFS(TBPS[Strand],$O38,TBPS[QET],K$21)&gt;0,$G38),IF(AND(teacher_type="TB",career_stage="HP"),AND(COUNTIFS(TBHPS[Strand],$O38,TBHPS[QET],K$21)&gt;0,$G38),FALSE)))),FALSE)</f>
        <v>0</v>
      </c>
      <c r="L38" s="156" t="b">
        <f t="shared" si="12"/>
        <v>0</v>
      </c>
      <c r="M38" s="165" t="str">
        <f t="shared" si="13"/>
        <v/>
      </c>
      <c r="N38" s="48" t="str">
        <f>IF($G38,COUNTIF($G$22:$G38,TRUE),"")</f>
        <v/>
      </c>
      <c r="O38" s="48" t="str" cm="1">
        <f t="array" ref="O38">IFERROR(IF(AND(teacher_type="R",career_stage="P"),INDEX(RPI[Strand],$B38),IF(AND(teacher_type="R",career_stage="HP"),INDEX(RHPI[Strand],$B38),IF(AND(teacher_type="TB",career_stage="P"),INDEX(TBPI[Strand],$B38),IF(AND(teacher_type="TB",career_stage="HP"),INDEX(TBHPI[Strand],$B38),"")))),"")</f>
        <v>3.4.2</v>
      </c>
      <c r="P38" s="166" t="str">
        <f>$C$38</f>
        <v>COI</v>
      </c>
      <c r="Q38" s="167">
        <f>IFERROR(IF(AND(teacher_type="R",career_stage="P"),VLOOKUP(O38,RPI[],COLUMNS(RPI[[Strand]:[Weight]]),FALSE), IF(AND(teacher_type="R",career_stage="HP"),VLOOKUP(O38,RHPI[],COLUMNS(RHPI[[Strand]:[Weight]]),FALSE), IF(AND(teacher_type="TB",career_stage="P"),VLOOKUP(O38,TBPI[],COLUMNS(TBPI[[Strand]:[Weight]]),FALSE), IF(AND(teacher_type="TB",career_stage="HP"),VLOOKUP(O38,TBHPI[],COLUMNS(TBHPI[[Strand]:[Weight]]),FALSE),0)))),0)</f>
        <v>0</v>
      </c>
      <c r="R38" s="168">
        <f>COUNTIFS($D$22:D38,"COI",$G$22:G38,TRUE)</f>
        <v>7</v>
      </c>
      <c r="S38" s="483"/>
      <c r="T38" s="169" t="str">
        <f>IFERROR(IF(LOWER(TRIM(S$20))=LOWER(TRIM(data2!$U$35)),"",IF(AND($G38,$D38="COI",S$12,CZ38),IF(OR(LOWER(TRIM(S$20))=LOWER(TRIM(data2!$U$36)),ISBLANK(S38)),1,IF(career_stage="P",VLOOKUP(S38,P_COT_vlookup,2,FALSE),IF(career_stage="HP",VLOOKUP(S38,HP_COT_vlookup,2,FALSE),""))),"")),"")</f>
        <v/>
      </c>
      <c r="U38" s="489"/>
      <c r="V38" s="170" t="str">
        <f>IFERROR(IF(LOWER(TRIM(U$20))=LOWER(TRIM(data2!$U$35)),"",IF(AND($G38,$D38="COI",U$12,DB38),IF(OR(LOWER(TRIM(U$20))=LOWER(TRIM(data2!$U$36)),ISBLANK(U38)),1,IF(career_stage="P",VLOOKUP(U38,P_COT_vlookup,2,FALSE),IF(career_stage="HP",VLOOKUP(U38,HP_COT_vlookup,2,FALSE),""))),"")),"")</f>
        <v/>
      </c>
      <c r="W38" s="483"/>
      <c r="X38" s="169" t="str">
        <f>IFERROR(IF(LOWER(TRIM(W$20))=LOWER(TRIM(data2!$U$35)),"",IF(AND($G38,$D38="COI",W$12,DD38),IF(OR(LOWER(TRIM(W$20))=LOWER(TRIM(data2!$U$36)),ISBLANK(W38)),1,IF(career_stage="P",VLOOKUP(W38,P_COT_vlookup,2,FALSE),IF(career_stage="HP",VLOOKUP(W38,HP_COT_vlookup,2,FALSE),""))),"")),"")</f>
        <v/>
      </c>
      <c r="Y38" s="489"/>
      <c r="Z38" s="170" t="str">
        <f>IFERROR(IF(LOWER(TRIM(Y$20))=LOWER(TRIM(data2!$U$35)),"",IF(AND($G38,$D38="COI",Y$12,DF38),IF(OR(LOWER(TRIM(Y$20))=LOWER(TRIM(data2!$U$36)),ISBLANK(Y38)),1,IF(career_stage="P",VLOOKUP(Y38,P_COT_vlookup,2,FALSE),IF(career_stage="HP",VLOOKUP(Y38,HP_COT_vlookup,2,FALSE),""))),"")),"")</f>
        <v/>
      </c>
      <c r="AA38" s="171">
        <f t="shared" si="14"/>
        <v>0</v>
      </c>
      <c r="AB38" s="471"/>
      <c r="AC38" s="473"/>
      <c r="AD38" s="473"/>
      <c r="AE38" s="49">
        <f t="shared" si="2"/>
        <v>0</v>
      </c>
      <c r="AF38" s="49">
        <f t="shared" si="3"/>
        <v>0</v>
      </c>
      <c r="AG38" s="172" t="str">
        <f t="shared" si="4"/>
        <v>Poor</v>
      </c>
      <c r="AI38" s="196" t="b">
        <f t="shared" si="5"/>
        <v>1</v>
      </c>
      <c r="AJ38" s="154" t="b">
        <v>1</v>
      </c>
      <c r="AK38" s="154" t="b">
        <v>1</v>
      </c>
      <c r="AL38" s="196" t="b">
        <f t="shared" si="15"/>
        <v>1</v>
      </c>
      <c r="AM38" s="154" t="b">
        <v>1</v>
      </c>
      <c r="AN38" s="196" t="b">
        <f t="shared" si="15"/>
        <v>1</v>
      </c>
      <c r="AO38" s="154" t="b">
        <v>1</v>
      </c>
      <c r="AP38" s="196" t="b">
        <f t="shared" si="15"/>
        <v>1</v>
      </c>
      <c r="AQ38" s="154" t="b">
        <v>1</v>
      </c>
      <c r="AR38" s="196" t="b">
        <f t="shared" si="15"/>
        <v>1</v>
      </c>
      <c r="AS38" s="154" t="b">
        <v>1</v>
      </c>
      <c r="AT38" s="154" t="b">
        <v>1</v>
      </c>
      <c r="AU38" s="196" t="b">
        <f t="shared" si="6"/>
        <v>1</v>
      </c>
      <c r="AV38" s="196" t="b">
        <f t="shared" si="7"/>
        <v>1</v>
      </c>
      <c r="AW38" s="196" t="b">
        <f t="shared" si="8"/>
        <v>1</v>
      </c>
      <c r="AX38" s="47" t="b">
        <v>1</v>
      </c>
      <c r="AY38" s="47" t="b">
        <v>1</v>
      </c>
      <c r="AZ38" s="47" t="b">
        <v>1</v>
      </c>
      <c r="BF38" s="154" t="str">
        <f t="shared" si="9"/>
        <v>3.4.2</v>
      </c>
      <c r="BG38" s="196" t="b" cm="1">
        <f t="array" ref="BG38">IFERROR(IF(OR(LOWER(TRIM(S$20))=LOWER(TRIM(data2!$U$35)),LOWER(TRIM(S$20))=LOWER(TRIM(data2!$U$36))),FALSE,AND(S$12,IF(AND($G38,$D38="COI"),
IF(AND(teacher_type="R",career_stage="P"),VLOOKUP($BF38,RPI[],COLUMN(RPI[cot1]),FALSE),
IF(AND(teacher_type="R",career_stage="HP"),VLOOKUP($BF38,RHPI[],COLUMN(RHPI[cot1]),FALSE),
IF(AND(teacher_type="TB",career_stage="P"),VLOOKUP($BF38,TBPI[],COLUMN(TBPI[cot1]),FALSE),
IF(AND(teacher_type="TB",career_stage="HP"),VLOOKUP($BF38,TBHPI[],COLUMN(TBHPI[cot1]),FALSE),FALSE)))),
FALSE))),FALSE)</f>
        <v>0</v>
      </c>
      <c r="BH38" s="154" t="b">
        <v>0</v>
      </c>
      <c r="BI38" s="196" t="b" cm="1">
        <f t="array" ref="BI38">IFERROR(IF(OR(LOWER(TRIM(U$20))=LOWER(TRIM(data2!$U$35)),LOWER(TRIM(U$20))=LOWER(TRIM(data2!$U$36))),FALSE,AND(U$12,IF(AND($G38,$D38="COI"),
IF(AND(teacher_type="R",career_stage="P"),VLOOKUP($BF38,RPI[],COLUMN(RPI[cot2]),FALSE),
IF(AND(teacher_type="R",career_stage="HP"),VLOOKUP($BF38,RHPI[],COLUMN(RHPI[cot2]),FALSE),
IF(AND(teacher_type="TB",career_stage="P"),VLOOKUP($BF38,TBPI[],COLUMN(TBPI[cot2]),FALSE),
IF(AND(teacher_type="TB",career_stage="HP"),VLOOKUP($BF38,TBHPI[],COLUMN(TBHPI[cot2]),FALSE),FALSE)))),
FALSE))),FALSE)</f>
        <v>0</v>
      </c>
      <c r="BJ38" s="154" t="b">
        <v>0</v>
      </c>
      <c r="BK38" s="196" t="b" cm="1">
        <f t="array" ref="BK38">IFERROR(IF(OR(LOWER(TRIM(W$20))=LOWER(TRIM(data2!$U$35)),LOWER(TRIM(W$20))=LOWER(TRIM(data2!$U$36))),FALSE,AND(W$12,IF(AND($G38,$D38="COI"),
IF(AND(teacher_type="R",career_stage="P"),VLOOKUP($BF38,RPI[],COLUMN(RPI[cot3]),FALSE),
IF(AND(teacher_type="R",career_stage="HP"),VLOOKUP($BF38,RHPI[],COLUMN(RHPI[cot3]),FALSE),
IF(AND(teacher_type="TB",career_stage="P"),VLOOKUP($BF38,TBPI[],COLUMN(TBPI[cot3]),FALSE),
IF(AND(teacher_type="TB",career_stage="HP"),VLOOKUP($BF38,TBHPI[],COLUMN(TBHPI[cot3]),FALSE),FALSE)))),
FALSE))),FALSE)</f>
        <v>0</v>
      </c>
      <c r="BL38" s="154" t="b">
        <v>0</v>
      </c>
      <c r="BM38" s="196" t="b" cm="1">
        <f t="array" ref="BM38">IFERROR(IF(OR(LOWER(TRIM(Y$20))=LOWER(TRIM(data2!$U$35)),LOWER(TRIM(Y$20))=LOWER(TRIM(data2!$U$36))),FALSE,AND(Y$12,IF(AND($G38,$D38="COI"),
IF(AND(teacher_type="R",career_stage="P"),VLOOKUP($BF38,RPI[],COLUMN(RPI[cot4]),FALSE),
IF(AND(teacher_type="R",career_stage="HP"),VLOOKUP($BF38,RHPI[],COLUMN(RHPI[cot4]),FALSE),
IF(AND(teacher_type="TB",career_stage="P"),VLOOKUP($BF38,TBPI[],COLUMN(TBPI[cot4]),FALSE),
IF(AND(teacher_type="TB",career_stage="HP"),VLOOKUP($BF38,TBHPI[],COLUMN(TBHPI[cot4]),FALSE),FALSE)))),
FALSE))),FALSE)</f>
        <v>0</v>
      </c>
      <c r="BN38" s="154" t="b">
        <v>0</v>
      </c>
      <c r="BO38" s="150">
        <f t="shared" si="16"/>
        <v>0</v>
      </c>
      <c r="BP38" s="196" t="b">
        <f t="shared" si="17"/>
        <v>0</v>
      </c>
      <c r="BQ38" s="196" t="b">
        <f>IFERROR(IF(OR(NOT(CZ38),LOWER(TRIM(S$20))=LOWER(TRIM(data2!$U$35))),TRUE,IF(AND(CZ38,LOWER(TRIM(S$20))=LOWER(TRIM(data2!$U$36))),FALSE)),FALSE)</f>
        <v>1</v>
      </c>
      <c r="BR38" s="196" t="b">
        <f t="shared" si="18"/>
        <v>0</v>
      </c>
      <c r="BS38" s="196" t="b">
        <f>IFERROR(IF(OR(NOT(DB38),LOWER(TRIM(U$20))=LOWER(TRIM(data2!$U$35))),TRUE,IF(AND(DB38,LOWER(TRIM(U$20))=LOWER(TRIM(data2!$U$36))),FALSE)),FALSE)</f>
        <v>1</v>
      </c>
      <c r="BT38" s="196" t="b">
        <f t="shared" si="19"/>
        <v>0</v>
      </c>
      <c r="BU38" s="196" t="b">
        <f>IFERROR(IF(OR(NOT(DD38),LOWER(TRIM(W$20))=LOWER(TRIM(data2!$U$35))),TRUE,IF(AND(DD38,LOWER(TRIM(W$20))=LOWER(TRIM(data2!$U$36))),FALSE)),FALSE)</f>
        <v>1</v>
      </c>
      <c r="BV38" s="196" t="b">
        <f t="shared" si="20"/>
        <v>0</v>
      </c>
      <c r="BW38" s="196" t="b">
        <f>IFERROR(IF(OR(NOT(DF38),LOWER(TRIM(Y$20))=LOWER(TRIM(data2!$U$35))),TRUE,IF(AND(DF38,LOWER(TRIM(Y$20))=LOWER(TRIM(data2!$U$36))),FALSE)),FALSE)</f>
        <v>1</v>
      </c>
      <c r="BY38" s="154" t="str">
        <f t="shared" si="21"/>
        <v/>
      </c>
      <c r="BZ38" s="154" t="str">
        <f t="shared" si="22"/>
        <v/>
      </c>
      <c r="CA38" s="154" t="str">
        <f t="shared" si="23"/>
        <v/>
      </c>
      <c r="CB38" s="154" t="str">
        <f t="shared" si="24"/>
        <v>CE38:CI38</v>
      </c>
      <c r="CC38" s="154" t="str">
        <f t="shared" si="25"/>
        <v>CK38:CO38</v>
      </c>
      <c r="CD38" s="154" t="str">
        <f t="shared" si="26"/>
        <v>CQ38:CU38</v>
      </c>
      <c r="CE38" s="359" cm="1">
        <f t="array" ref="CE38">IFERROR(IF($BY38&lt;&gt;"",
IF(AND(teacher_type="R",career_stage="P"),
    IF(INDEX(RPS[[Outstanding]:[Poor]],MATCH($BY38,RPS[[helper]:[helper]],0),CE$19)&lt;&gt;"",CE$20,""),
IF(AND(teacher_type="R",career_stage="HP"),
    IF(INDEX(RHPS[[Outstanding]:[Poor]],MATCH($BY38,RHPS[[helper]:[helper]],0),CE$19)&lt;&gt;"",CE$20,""),
IF(AND(teacher_type="TB",career_stage="P"),
    IF(INDEX(TBPS[[Outstanding]:[Poor]],MATCH($BY38,TBPS[[helper]:[helper]],0),CE$19)&lt;&gt;"",CE$20,""),
IF(AND(teacher_type="TB",career_stage="HP"),
    IF(INDEX(TBHPS[[Outstanding]:[Poor]],MATCH($BY38,TBHPS[[helper]:[helper]],0),CE$19)&lt;&gt;"",CE$20,""),
CE$20)))),
CE$20),CE$20)</f>
        <v>5</v>
      </c>
      <c r="CF38" s="359" cm="1">
        <f t="array" ref="CF38">IFERROR(IF($BY38&lt;&gt;"",
IF(AND(teacher_type="R",career_stage="P"),
    IF(INDEX(RPS[[Outstanding]:[Poor]],MATCH($BY38,RPS[[helper]:[helper]],0),CF$19)&lt;&gt;"",CF$20,""),
IF(AND(teacher_type="R",career_stage="HP"),
    IF(INDEX(RHPS[[Outstanding]:[Poor]],MATCH($BY38,RHPS[[helper]:[helper]],0),CF$19)&lt;&gt;"",CF$20,""),
IF(AND(teacher_type="TB",career_stage="P"),
    IF(INDEX(TBPS[[Outstanding]:[Poor]],MATCH($BY38,TBPS[[helper]:[helper]],0),CF$19)&lt;&gt;"",CF$20,""),
IF(AND(teacher_type="TB",career_stage="HP"),
    IF(INDEX(TBHPS[[Outstanding]:[Poor]],MATCH($BY38,TBHPS[[helper]:[helper]],0),CF$19)&lt;&gt;"",CF$20,""),
CF$20)))),
CF$20),CF$20)</f>
        <v>4</v>
      </c>
      <c r="CG38" s="359" cm="1">
        <f t="array" ref="CG38">IFERROR(IF($BY38&lt;&gt;"",
IF(AND(teacher_type="R",career_stage="P"),
    IF(INDEX(RPS[[Outstanding]:[Poor]],MATCH($BY38,RPS[[helper]:[helper]],0),CG$19)&lt;&gt;"",CG$20,""),
IF(AND(teacher_type="R",career_stage="HP"),
    IF(INDEX(RHPS[[Outstanding]:[Poor]],MATCH($BY38,RHPS[[helper]:[helper]],0),CG$19)&lt;&gt;"",CG$20,""),
IF(AND(teacher_type="TB",career_stage="P"),
    IF(INDEX(TBPS[[Outstanding]:[Poor]],MATCH($BY38,TBPS[[helper]:[helper]],0),CG$19)&lt;&gt;"",CG$20,""),
IF(AND(teacher_type="TB",career_stage="HP"),
    IF(INDEX(TBHPS[[Outstanding]:[Poor]],MATCH($BY38,TBHPS[[helper]:[helper]],0),CG$19)&lt;&gt;"",CG$20,""),
CG$20)))),
CG$20),CG$20)</f>
        <v>3</v>
      </c>
      <c r="CH38" s="359" cm="1">
        <f t="array" ref="CH38">IFERROR(IF($BY38&lt;&gt;"",
IF(AND(teacher_type="R",career_stage="P"),
    IF(INDEX(RPS[[Outstanding]:[Poor]],MATCH($BY38,RPS[[helper]:[helper]],0),CH$19)&lt;&gt;"",CH$20,""),
IF(AND(teacher_type="R",career_stage="HP"),
    IF(INDEX(RHPS[[Outstanding]:[Poor]],MATCH($BY38,RHPS[[helper]:[helper]],0),CH$19)&lt;&gt;"",CH$20,""),
IF(AND(teacher_type="TB",career_stage="P"),
    IF(INDEX(TBPS[[Outstanding]:[Poor]],MATCH($BY38,TBPS[[helper]:[helper]],0),CH$19)&lt;&gt;"",CH$20,""),
IF(AND(teacher_type="TB",career_stage="HP"),
    IF(INDEX(TBHPS[[Outstanding]:[Poor]],MATCH($BY38,TBHPS[[helper]:[helper]],0),CH$19)&lt;&gt;"",CH$20,""),
CH$20)))),
CH$20),CH$20)</f>
        <v>2</v>
      </c>
      <c r="CI38" s="359" cm="1">
        <f t="array" ref="CI38">IFERROR(IF($BY38&lt;&gt;"",
IF(AND(teacher_type="R",career_stage="P"),
    IF(INDEX(RPS[[Outstanding]:[Poor]],MATCH($BY38,RPS[[helper]:[helper]],0),CI$19)&lt;&gt;"",CI$20,""),
IF(AND(teacher_type="R",career_stage="HP"),
    IF(INDEX(RHPS[[Outstanding]:[Poor]],MATCH($BY38,RHPS[[helper]:[helper]],0),CI$19)&lt;&gt;"",CI$20,""),
IF(AND(teacher_type="TB",career_stage="P"),
    IF(INDEX(TBPS[[Outstanding]:[Poor]],MATCH($BY38,TBPS[[helper]:[helper]],0),CI$19)&lt;&gt;"",CI$20,""),
IF(AND(teacher_type="TB",career_stage="HP"),
    IF(INDEX(TBHPS[[Outstanding]:[Poor]],MATCH($BY38,TBHPS[[helper]:[helper]],0),CI$19)&lt;&gt;"",CI$20,""),
CI$20)))),
CI$20),CI$20)</f>
        <v>1</v>
      </c>
      <c r="CJ38" s="360">
        <f t="shared" si="27"/>
        <v>5</v>
      </c>
      <c r="CK38" s="359" cm="1">
        <f t="array" ref="CK38">IFERROR(IF($BZ38&lt;&gt;"",
IF(AND(teacher_type="R",career_stage="P"),
    IF(INDEX(RPS[[Outstanding]:[Poor]],MATCH($BZ38,RPS[[helper]:[helper]],0),CK$19)&lt;&gt;"",CK$20,""),
IF(AND(teacher_type="R",career_stage="HP"),
    IF(INDEX(RHPS[[Outstanding]:[Poor]],MATCH($BZ38,RHPS[[helper]:[helper]],0),CK$19)&lt;&gt;"",CK$20,""),
IF(AND(teacher_type="TB",career_stage="P"),
    IF(INDEX(TBPS[[Outstanding]:[Poor]],MATCH($BZ38,TBPS[[helper]:[helper]],0),CK$19)&lt;&gt;"",CK$20,""),
IF(AND(teacher_type="TB",career_stage="HP"),
    IF(INDEX(TBHPS[[Outstanding]:[Poor]],MATCH($BZ38,TBHPS[[helper]:[helper]],0),CK$19)&lt;&gt;"",CK$20,""),
CK$20)))),
CK$20),CK$20)</f>
        <v>5</v>
      </c>
      <c r="CL38" s="359" cm="1">
        <f t="array" ref="CL38">IFERROR(IF($BZ38&lt;&gt;"",
IF(AND(teacher_type="R",career_stage="P"),
    IF(INDEX(RPS[[Outstanding]:[Poor]],MATCH($BZ38,RPS[[helper]:[helper]],0),CL$19)&lt;&gt;"",CL$20,""),
IF(AND(teacher_type="R",career_stage="HP"),
    IF(INDEX(RHPS[[Outstanding]:[Poor]],MATCH($BZ38,RHPS[[helper]:[helper]],0),CL$19)&lt;&gt;"",CL$20,""),
IF(AND(teacher_type="TB",career_stage="P"),
    IF(INDEX(TBPS[[Outstanding]:[Poor]],MATCH($BZ38,TBPS[[helper]:[helper]],0),CL$19)&lt;&gt;"",CL$20,""),
IF(AND(teacher_type="TB",career_stage="HP"),
    IF(INDEX(TBHPS[[Outstanding]:[Poor]],MATCH($BZ38,TBHPS[[helper]:[helper]],0),CL$19)&lt;&gt;"",CL$20,""),
CL$20)))),
CL$20),CL$20)</f>
        <v>4</v>
      </c>
      <c r="CM38" s="359" cm="1">
        <f t="array" ref="CM38">IFERROR(IF($BZ38&lt;&gt;"",
IF(AND(teacher_type="R",career_stage="P"),
    IF(INDEX(RPS[[Outstanding]:[Poor]],MATCH($BZ38,RPS[[helper]:[helper]],0),CM$19)&lt;&gt;"",CM$20,""),
IF(AND(teacher_type="R",career_stage="HP"),
    IF(INDEX(RHPS[[Outstanding]:[Poor]],MATCH($BZ38,RHPS[[helper]:[helper]],0),CM$19)&lt;&gt;"",CM$20,""),
IF(AND(teacher_type="TB",career_stage="P"),
    IF(INDEX(TBPS[[Outstanding]:[Poor]],MATCH($BZ38,TBPS[[helper]:[helper]],0),CM$19)&lt;&gt;"",CM$20,""),
IF(AND(teacher_type="TB",career_stage="HP"),
    IF(INDEX(TBHPS[[Outstanding]:[Poor]],MATCH($BZ38,TBHPS[[helper]:[helper]],0),CM$19)&lt;&gt;"",CM$20,""),
CM$20)))),
CM$20),CM$20)</f>
        <v>3</v>
      </c>
      <c r="CN38" s="359" cm="1">
        <f t="array" ref="CN38">IFERROR(IF($BZ38&lt;&gt;"",
IF(AND(teacher_type="R",career_stage="P"),
    IF(INDEX(RPS[[Outstanding]:[Poor]],MATCH($BZ38,RPS[[helper]:[helper]],0),CN$19)&lt;&gt;"",CN$20,""),
IF(AND(teacher_type="R",career_stage="HP"),
    IF(INDEX(RHPS[[Outstanding]:[Poor]],MATCH($BZ38,RHPS[[helper]:[helper]],0),CN$19)&lt;&gt;"",CN$20,""),
IF(AND(teacher_type="TB",career_stage="P"),
    IF(INDEX(TBPS[[Outstanding]:[Poor]],MATCH($BZ38,TBPS[[helper]:[helper]],0),CN$19)&lt;&gt;"",CN$20,""),
IF(AND(teacher_type="TB",career_stage="HP"),
    IF(INDEX(TBHPS[[Outstanding]:[Poor]],MATCH($BZ38,TBHPS[[helper]:[helper]],0),CN$19)&lt;&gt;"",CN$20,""),
CN$20)))),
CN$20),CN$20)</f>
        <v>2</v>
      </c>
      <c r="CO38" s="359" cm="1">
        <f t="array" ref="CO38">IFERROR(IF($BZ38&lt;&gt;"",
IF(AND(teacher_type="R",career_stage="P"),
    IF(INDEX(RPS[[Outstanding]:[Poor]],MATCH($BZ38,RPS[[helper]:[helper]],0),CO$19)&lt;&gt;"",CO$20,""),
IF(AND(teacher_type="R",career_stage="HP"),
    IF(INDEX(RHPS[[Outstanding]:[Poor]],MATCH($BZ38,RHPS[[helper]:[helper]],0),CO$19)&lt;&gt;"",CO$20,""),
IF(AND(teacher_type="TB",career_stage="P"),
    IF(INDEX(TBPS[[Outstanding]:[Poor]],MATCH($BZ38,TBPS[[helper]:[helper]],0),CO$19)&lt;&gt;"",CO$20,""),
IF(AND(teacher_type="TB",career_stage="HP"),
    IF(INDEX(TBHPS[[Outstanding]:[Poor]],MATCH($BZ38,TBHPS[[helper]:[helper]],0),CO$19)&lt;&gt;"",CO$20,""),
CO$20)))),
CO$20),CO$20)</f>
        <v>1</v>
      </c>
      <c r="CP38" s="360">
        <f t="shared" si="28"/>
        <v>5</v>
      </c>
      <c r="CQ38" s="359" cm="1">
        <f t="array" ref="CQ38">IFERROR(IF($CA38&lt;&gt;"",
IF(AND(teacher_type="R",career_stage="P"),
    IF(INDEX(RPS[[Outstanding]:[Poor]],MATCH($CA38,RPS[[helper]:[helper]],0),CQ$19)&lt;&gt;"",CQ$20,""),
IF(AND(teacher_type="R",career_stage="HP"),
    IF(INDEX(RHPS[[Outstanding]:[Poor]],MATCH($CA38,RHPS[[helper]:[helper]],0),CQ$19)&lt;&gt;"",CQ$20,""),
IF(AND(teacher_type="TB",career_stage="P"),
    IF(INDEX(TBPS[[Outstanding]:[Poor]],MATCH($CA38,TBPS[[helper]:[helper]],0),CQ$19)&lt;&gt;"",CQ$20,""),
IF(AND(teacher_type="TB",career_stage="HP"),
    IF(INDEX(TBHPS[[Outstanding]:[Poor]],MATCH($CA38,TBHPS[[helper]:[helper]],0),CQ$19)&lt;&gt;"",CQ$20,""),
CQ$20)))),
CQ$20),CQ$20)</f>
        <v>5</v>
      </c>
      <c r="CR38" s="359" cm="1">
        <f t="array" ref="CR38">IFERROR(IF($CA38&lt;&gt;"",
IF(AND(teacher_type="R",career_stage="P"),
    IF(INDEX(RPS[[Outstanding]:[Poor]],MATCH($CA38,RPS[[helper]:[helper]],0),CR$19)&lt;&gt;"",CR$20,""),
IF(AND(teacher_type="R",career_stage="HP"),
    IF(INDEX(RHPS[[Outstanding]:[Poor]],MATCH($CA38,RHPS[[helper]:[helper]],0),CR$19)&lt;&gt;"",CR$20,""),
IF(AND(teacher_type="TB",career_stage="P"),
    IF(INDEX(TBPS[[Outstanding]:[Poor]],MATCH($CA38,TBPS[[helper]:[helper]],0),CR$19)&lt;&gt;"",CR$20,""),
IF(AND(teacher_type="TB",career_stage="HP"),
    IF(INDEX(TBHPS[[Outstanding]:[Poor]],MATCH($CA38,TBHPS[[helper]:[helper]],0),CR$19)&lt;&gt;"",CR$20,""),
CR$20)))),
CR$20),CR$20)</f>
        <v>4</v>
      </c>
      <c r="CS38" s="359" cm="1">
        <f t="array" ref="CS38">IFERROR(IF($CA38&lt;&gt;"",
IF(AND(teacher_type="R",career_stage="P"),
    IF(INDEX(RPS[[Outstanding]:[Poor]],MATCH($CA38,RPS[[helper]:[helper]],0),CS$19)&lt;&gt;"",CS$20,""),
IF(AND(teacher_type="R",career_stage="HP"),
    IF(INDEX(RHPS[[Outstanding]:[Poor]],MATCH($CA38,RHPS[[helper]:[helper]],0),CS$19)&lt;&gt;"",CS$20,""),
IF(AND(teacher_type="TB",career_stage="P"),
    IF(INDEX(TBPS[[Outstanding]:[Poor]],MATCH($CA38,TBPS[[helper]:[helper]],0),CS$19)&lt;&gt;"",CS$20,""),
IF(AND(teacher_type="TB",career_stage="HP"),
    IF(INDEX(TBHPS[[Outstanding]:[Poor]],MATCH($CA38,TBHPS[[helper]:[helper]],0),CS$19)&lt;&gt;"",CS$20,""),
CS$20)))),
CS$20),CS$20)</f>
        <v>3</v>
      </c>
      <c r="CT38" s="359" cm="1">
        <f t="array" ref="CT38">IFERROR(IF($CA38&lt;&gt;"",
IF(AND(teacher_type="R",career_stage="P"),
    IF(INDEX(RPS[[Outstanding]:[Poor]],MATCH($CA38,RPS[[helper]:[helper]],0),CT$19)&lt;&gt;"",CT$20,""),
IF(AND(teacher_type="R",career_stage="HP"),
    IF(INDEX(RHPS[[Outstanding]:[Poor]],MATCH($CA38,RHPS[[helper]:[helper]],0),CT$19)&lt;&gt;"",CT$20,""),
IF(AND(teacher_type="TB",career_stage="P"),
    IF(INDEX(TBPS[[Outstanding]:[Poor]],MATCH($CA38,TBPS[[helper]:[helper]],0),CT$19)&lt;&gt;"",CT$20,""),
IF(AND(teacher_type="TB",career_stage="HP"),
    IF(INDEX(TBHPS[[Outstanding]:[Poor]],MATCH($CA38,TBHPS[[helper]:[helper]],0),CT$19)&lt;&gt;"",CT$20,""),
CT$20)))),
CT$20),CT$20)</f>
        <v>2</v>
      </c>
      <c r="CU38" s="359" cm="1">
        <f t="array" ref="CU38">IFERROR(IF($CA38&lt;&gt;"",
IF(AND(teacher_type="R",career_stage="P"),
    IF(INDEX(RPS[[Outstanding]:[Poor]],MATCH($CA38,RPS[[helper]:[helper]],0),CU$19)&lt;&gt;"",CU$20,""),
IF(AND(teacher_type="R",career_stage="HP"),
    IF(INDEX(RHPS[[Outstanding]:[Poor]],MATCH($CA38,RHPS[[helper]:[helper]],0),CU$19)&lt;&gt;"",CU$20,""),
IF(AND(teacher_type="TB",career_stage="P"),
    IF(INDEX(TBPS[[Outstanding]:[Poor]],MATCH($CA38,TBPS[[helper]:[helper]],0),CU$19)&lt;&gt;"",CU$20,""),
IF(AND(teacher_type="TB",career_stage="HP"),
    IF(INDEX(TBHPS[[Outstanding]:[Poor]],MATCH($CA38,TBHPS[[helper]:[helper]],0),CU$19)&lt;&gt;"",CU$20,""),
CU$20)))),
CU$20),CU$20)</f>
        <v>1</v>
      </c>
      <c r="CV38" s="360">
        <f t="shared" si="29"/>
        <v>5</v>
      </c>
      <c r="CY38" s="443" t="b" cm="1">
        <f t="array" ref="CY38">IFERROR(AND(S$12,IF(AND($G38,$D38="COI"),
IF(AND(teacher_type="R",career_stage="P"),VLOOKUP($BF38,RPI[],COLUMN(RPI[cot1]),FALSE),
IF(AND(teacher_type="R",career_stage="HP"),VLOOKUP($BF38,RHPI[],COLUMN(RHPI[cot1]),FALSE),
IF(AND(teacher_type="TB",career_stage="P"),VLOOKUP($BF38,TBPI[],COLUMN(TBPI[cot1]),FALSE),
IF(AND(teacher_type="TB",career_stage="HP"),VLOOKUP($BF38,TBHPI[],COLUMN(TBHPI[cot1]),FALSE),FALSE)))),
FALSE)),FALSE)</f>
        <v>0</v>
      </c>
      <c r="CZ38" s="443" t="b">
        <f t="shared" si="30"/>
        <v>0</v>
      </c>
      <c r="DA38" s="443" t="b" cm="1">
        <f t="array" ref="DA38">IFERROR(AND(U$12,IF(AND($G38,$D38="COI"),
IF(AND(teacher_type="R",career_stage="P"),VLOOKUP($BF38,RPI[],COLUMN(RPI[cot2]),FALSE),
IF(AND(teacher_type="R",career_stage="HP"),VLOOKUP($BF38,RHPI[],COLUMN(RHPI[cot2]),FALSE),
IF(AND(teacher_type="TB",career_stage="P"),VLOOKUP($BF38,TBPI[],COLUMN(TBPI[cot2]),FALSE),
IF(AND(teacher_type="TB",career_stage="HP"),VLOOKUP($BF38,TBHPI[],COLUMN(TBHPI[cot2]),FALSE),FALSE)))),
FALSE)),FALSE)</f>
        <v>0</v>
      </c>
      <c r="DB38" s="443" t="b">
        <f t="shared" si="31"/>
        <v>0</v>
      </c>
      <c r="DC38" s="443" t="b" cm="1">
        <f t="array" ref="DC38">IFERROR(AND(W$12,IF(AND($G38,$D38="COI"),
IF(AND(teacher_type="R",career_stage="P"),VLOOKUP($BF38,RPI[],COLUMN(RPI[cot3]),FALSE),
IF(AND(teacher_type="R",career_stage="HP"),VLOOKUP($BF38,RHPI[],COLUMN(RHPI[cot3]),FALSE),
IF(AND(teacher_type="TB",career_stage="P"),VLOOKUP($BF38,TBPI[],COLUMN(TBPI[cot3]),FALSE),
IF(AND(teacher_type="TB",career_stage="HP"),VLOOKUP($BF38,TBHPI[],COLUMN(TBHPI[cot3]),FALSE),FALSE)))),
FALSE)),FALSE)</f>
        <v>0</v>
      </c>
      <c r="DD38" s="443" t="b">
        <f t="shared" si="32"/>
        <v>0</v>
      </c>
      <c r="DE38" s="443" t="b" cm="1">
        <f t="array" ref="DE38">IFERROR(AND(Y$12,IF(AND($G38,$D38="COI"),
IF(AND(teacher_type="R",career_stage="P"),VLOOKUP($BF38,RPI[],COLUMN(RPI[cot4]),FALSE),
IF(AND(teacher_type="R",career_stage="HP"),VLOOKUP($BF38,RHPI[],COLUMN(RHPI[cot4]),FALSE),
IF(AND(teacher_type="TB",career_stage="P"),VLOOKUP($BF38,TBPI[],COLUMN(TBPI[cot4]),FALSE),
IF(AND(teacher_type="TB",career_stage="HP"),VLOOKUP($BF38,TBHPI[],COLUMN(TBHPI[cot4]),FALSE),FALSE)))),
FALSE)),FALSE)</f>
        <v>0</v>
      </c>
      <c r="DF38" s="443" t="b">
        <f t="shared" si="33"/>
        <v>0</v>
      </c>
      <c r="DG38" s="150">
        <f t="shared" si="34"/>
        <v>0</v>
      </c>
      <c r="DH38" s="154">
        <f>IF(AND(CY38,LOWER(TRIM(S$20))=LOWER(TRIM(data2!$U$35))),1,0) +
IF(AND(DA38,LOWER(TRIM(U$20))=LOWER(TRIM(data2!$U$35))),1,0) +
IF(AND(DC38,LOWER(TRIM(W$20))=LOWER(TRIM(data2!$U$35))),1,0) +
IF(AND(DE38,LOWER(TRIM(Y$20))=LOWER(TRIM(data2!$U$35))),1,0)</f>
        <v>0</v>
      </c>
      <c r="DJ38" s="154">
        <f t="shared" si="35"/>
        <v>0</v>
      </c>
    </row>
    <row r="39" spans="1:114" s="154" customFormat="1" ht="24.95" customHeight="1" x14ac:dyDescent="0.25">
      <c r="A39" s="156"/>
      <c r="B39" s="154">
        <v>18</v>
      </c>
      <c r="C39" s="150" t="str">
        <f>IFERROR(IF(AND(teacher_type="R",career_stage="P"),VLOOKUP(O39,RPI[],COLUMNS(RPI[[Strand]:[admin_selected_coi_ncoi]]),FALSE),IF(AND(teacher_type="R",career_stage="HP"),VLOOKUP(O39,RHPI[],COLUMNS(RHPI[[Strand]:[admin_selected_coi_ncoi]]),FALSE),IF(AND(teacher_type="TB",career_stage="P"),VLOOKUP(O39,TBPI[],COLUMNS(TBPI[[Strand]:[admin_selected_coi_ncoi]]),FALSE),IF(AND(teacher_type="TB",career_stage="HP"),VLOOKUP(O39,TBHPI[],COLUMNS(TBHPI[[Strand]:[admin_selected_coi_ncoi]]),FALSE),"NCOI")))),"NCOI")</f>
        <v>COI</v>
      </c>
      <c r="D39" s="150" t="str">
        <f t="shared" si="10"/>
        <v>COI</v>
      </c>
      <c r="E39" s="150">
        <f>IFERROR(IF(AND(teacher_type="R",career_stage="P"),VLOOKUP($O39,RPI[[Strand]:[Domain]],COLUMNS(RPI[[Strand]:[Domain]]),FALSE),IF(AND(teacher_type="R",career_stage="HP"),VLOOKUP($O39,RHPI[[Strand]:[Domain]],COLUMNS(RHPI[[Strand]:[Domain]]),FALSE),IF(AND(teacher_type="TB",career_stage="P"),VLOOKUP($O39,TBPI[[Strand]:[Domain]],COLUMNS(TBPI[[Strand]:[Domain]]),FALSE),IF(AND(teacher_type="TB",career_stage="HP"),VLOOKUP($O39,TBHPI[[Strand]:[Domain]],COLUMNS(TBHPI[[Strand]:[Domain]]),FALSE),"")))),"")</f>
        <v>2</v>
      </c>
      <c r="F39" s="155" t="b">
        <f>AND(COUNTIFS($E$22:$E39,E39,$G$22:$G39,TRUE)=1,$G39)</f>
        <v>0</v>
      </c>
      <c r="G39" s="212" t="b">
        <f>IFERROR(IF(AND(teacher_type="R",career_stage="P"),VLOOKUP($O39,RPI[],COLUMNS(RPI[[Strand]:[Selected]]),FALSE),IF(AND(teacher_type="R",career_stage="HP"),VLOOKUP($O39,RHPI[],COLUMNS(RHPI[[Strand]:[Selected]]),FALSE),IF(AND(teacher_type="TB",career_stage="P"),VLOOKUP($O39,TBPI[],COLUMNS(TBPI[[Strand]:[Selected]]),FALSE),IF(AND(teacher_type="TB",career_stage="HP"),VLOOKUP($O39,TBHPI[],COLUMNS(TBHPI[[Strand]:[Selected]]),FALSE),FALSE)))),FALSE)</f>
        <v>1</v>
      </c>
      <c r="H39" s="156" t="b">
        <f>IFERROR(IF(AND(teacher_type="R",career_stage="P"),AND(COUNTIFS(RPS[Strand],$O39,RPS[QET],H$21)&gt;0,$G39),IF(AND(teacher_type="R",career_stage="HP"),AND(COUNTIFS(RHPS[Strand],$O39,RHPS[QET],H$21)&gt;0,$G39),IF(AND(teacher_type="TB",career_stage="P"),AND(COUNTIFS(TBPS[Strand],$O39,TBPS[QET],H$21)&gt;0,$G39),IF(AND(teacher_type="TB",career_stage="HP"),AND(COUNTIFS(TBHPS[Strand],$O39,TBHPS[QET],H$21)&gt;0,$G39),FALSE)))),FALSE)</f>
        <v>1</v>
      </c>
      <c r="I39" s="156" t="b">
        <f t="shared" si="11"/>
        <v>0</v>
      </c>
      <c r="J39" s="156" t="b">
        <f>IFERROR(IF(AND(teacher_type="R",career_stage="P"),AND(COUNTIFS(RPS[Strand],$O39,RPS[QET],J$21)&gt;0,$G39),IF(AND(teacher_type="R",career_stage="HP"),AND(COUNTIFS(RHPS[Strand],$O39,RHPS[QET],J$21)&gt;0,$G39),IF(AND(teacher_type="TB",career_stage="P"),AND(COUNTIFS(TBPS[Strand],$O39,TBPS[QET],J$21)&gt;0,$G39),IF(AND(teacher_type="TB",career_stage="HP"),AND(COUNTIFS(TBHPS[Strand],$O39,TBHPS[QET],J$21)&gt;0,$G39),FALSE)))),FALSE)</f>
        <v>1</v>
      </c>
      <c r="K39" s="156" t="b">
        <f>IFERROR(IF(AND(teacher_type="R",career_stage="P"),AND(COUNTIFS(RPS[Strand],$O39,RPS[QET],K$21)&gt;0,$G39),IF(AND(teacher_type="R",career_stage="HP"),AND(COUNTIFS(RHPS[Strand],$O39,RHPS[QET],K$21)&gt;0,$G39),IF(AND(teacher_type="TB",career_stage="P"),AND(COUNTIFS(TBPS[Strand],$O39,TBPS[QET],K$21)&gt;0,$G39),IF(AND(teacher_type="TB",career_stage="HP"),AND(COUNTIFS(TBHPS[Strand],$O39,TBHPS[QET],K$21)&gt;0,$G39),FALSE)))),FALSE)</f>
        <v>0</v>
      </c>
      <c r="L39" s="156" t="b">
        <f t="shared" si="12"/>
        <v>1</v>
      </c>
      <c r="M39" s="165" t="str">
        <f t="shared" si="13"/>
        <v/>
      </c>
      <c r="N39" s="48">
        <f>IF($G39,COUNTIF($G$22:$G39,TRUE),"")</f>
        <v>8</v>
      </c>
      <c r="O39" s="48" t="str" cm="1">
        <f t="array" ref="O39">IFERROR(IF(AND(teacher_type="R",career_stage="P"),INDEX(RPI[Strand],$B39),IF(AND(teacher_type="R",career_stage="HP"),INDEX(RHPI[Strand],$B39),IF(AND(teacher_type="TB",career_stage="P"),INDEX(TBPI[Strand],$B39),IF(AND(teacher_type="TB",career_stage="HP"),INDEX(TBHPI[Strand],$B39),"")))),"")</f>
        <v>3.5.2</v>
      </c>
      <c r="P39" s="166" t="str">
        <f>$C$39</f>
        <v>COI</v>
      </c>
      <c r="Q39" s="167">
        <f>IFERROR(IF(AND(teacher_type="R",career_stage="P"),VLOOKUP(O39,RPI[],COLUMNS(RPI[[Strand]:[Weight]]),FALSE), IF(AND(teacher_type="R",career_stage="HP"),VLOOKUP(O39,RHPI[],COLUMNS(RHPI[[Strand]:[Weight]]),FALSE), IF(AND(teacher_type="TB",career_stage="P"),VLOOKUP(O39,TBPI[],COLUMNS(TBPI[[Strand]:[Weight]]),FALSE), IF(AND(teacher_type="TB",career_stage="HP"),VLOOKUP(O39,TBHPI[],COLUMNS(TBHPI[[Strand]:[Weight]]),FALSE),0)))),0)</f>
        <v>7.0000000000000007E-2</v>
      </c>
      <c r="R39" s="168">
        <f>COUNTIFS($D$22:D39,"COI",$G$22:G39,TRUE)</f>
        <v>8</v>
      </c>
      <c r="S39" s="483"/>
      <c r="T39" s="169" t="str">
        <f>IFERROR(IF(LOWER(TRIM(S$20))=LOWER(TRIM(data2!$U$35)),"",IF(AND($G39,$D39="COI",S$12,CZ39),IF(OR(LOWER(TRIM(S$20))=LOWER(TRIM(data2!$U$36)),ISBLANK(S39)),1,IF(career_stage="P",VLOOKUP(S39,P_COT_vlookup,2,FALSE),IF(career_stage="HP",VLOOKUP(S39,HP_COT_vlookup,2,FALSE),""))),"")),"")</f>
        <v/>
      </c>
      <c r="U39" s="460">
        <v>7</v>
      </c>
      <c r="V39" s="170">
        <f>IFERROR(IF(LOWER(TRIM(U$20))=LOWER(TRIM(data2!$U$35)),"",IF(AND($G39,$D39="COI",U$12,DB39),IF(OR(LOWER(TRIM(U$20))=LOWER(TRIM(data2!$U$36)),ISBLANK(U39)),1,IF(career_stage="P",VLOOKUP(U39,P_COT_vlookup,2,FALSE),IF(career_stage="HP",VLOOKUP(U39,HP_COT_vlookup,2,FALSE),""))),"")),"")</f>
        <v>5</v>
      </c>
      <c r="W39" s="483"/>
      <c r="X39" s="169" t="str">
        <f>IFERROR(IF(LOWER(TRIM(W$20))=LOWER(TRIM(data2!$U$35)),"",IF(AND($G39,$D39="COI",W$12,DD39),IF(OR(LOWER(TRIM(W$20))=LOWER(TRIM(data2!$U$36)),ISBLANK(W39)),1,IF(career_stage="P",VLOOKUP(W39,P_COT_vlookup,2,FALSE),IF(career_stage="HP",VLOOKUP(W39,HP_COT_vlookup,2,FALSE),""))),"")),"")</f>
        <v/>
      </c>
      <c r="Y39" s="460">
        <v>7</v>
      </c>
      <c r="Z39" s="170">
        <f>IFERROR(IF(LOWER(TRIM(Y$20))=LOWER(TRIM(data2!$U$35)),"",IF(AND($G39,$D39="COI",Y$12,DF39),IF(OR(LOWER(TRIM(Y$20))=LOWER(TRIM(data2!$U$36)),ISBLANK(Y39)),1,IF(career_stage="P",VLOOKUP(Y39,P_COT_vlookup,2,FALSE),IF(career_stage="HP",VLOOKUP(Y39,HP_COT_vlookup,2,FALSE),""))),"")),"")</f>
        <v>5</v>
      </c>
      <c r="AA39" s="171">
        <f t="shared" si="14"/>
        <v>5</v>
      </c>
      <c r="AB39" s="471">
        <f>IFERROR(IF(NOT(L22),"",VLOOKUP(ROUNDDOWN($AA$39,3),rating_desc_vlookup,3,TRUE)),1)</f>
        <v>5</v>
      </c>
      <c r="AC39" s="462">
        <v>5</v>
      </c>
      <c r="AD39" s="473"/>
      <c r="AE39" s="49">
        <f t="shared" si="2"/>
        <v>5</v>
      </c>
      <c r="AF39" s="49">
        <f t="shared" si="3"/>
        <v>0.35</v>
      </c>
      <c r="AG39" s="172" t="str">
        <f t="shared" si="4"/>
        <v>Outstanding</v>
      </c>
      <c r="AI39" s="196" t="b">
        <f t="shared" si="5"/>
        <v>1</v>
      </c>
      <c r="AJ39" s="154" t="b">
        <v>1</v>
      </c>
      <c r="AK39" s="154" t="b">
        <v>1</v>
      </c>
      <c r="AL39" s="196" t="b">
        <f t="shared" si="15"/>
        <v>1</v>
      </c>
      <c r="AM39" s="154" t="b">
        <v>1</v>
      </c>
      <c r="AN39" s="196" t="b">
        <f t="shared" si="15"/>
        <v>1</v>
      </c>
      <c r="AO39" s="154" t="b">
        <v>1</v>
      </c>
      <c r="AP39" s="196" t="b">
        <f t="shared" si="15"/>
        <v>1</v>
      </c>
      <c r="AQ39" s="154" t="b">
        <v>1</v>
      </c>
      <c r="AR39" s="196" t="b">
        <f t="shared" si="15"/>
        <v>1</v>
      </c>
      <c r="AS39" s="154" t="b">
        <v>1</v>
      </c>
      <c r="AT39" s="154" t="b">
        <v>1</v>
      </c>
      <c r="AU39" s="196" t="b">
        <f t="shared" si="6"/>
        <v>1</v>
      </c>
      <c r="AV39" s="196" t="b">
        <f t="shared" si="7"/>
        <v>1</v>
      </c>
      <c r="AW39" s="196" t="b">
        <f t="shared" si="8"/>
        <v>1</v>
      </c>
      <c r="AX39" s="47" t="b">
        <v>1</v>
      </c>
      <c r="AY39" s="47" t="b">
        <v>1</v>
      </c>
      <c r="AZ39" s="47" t="b">
        <v>1</v>
      </c>
      <c r="BF39" s="154" t="str">
        <f t="shared" si="9"/>
        <v>3.5.2</v>
      </c>
      <c r="BG39" s="196" t="b" cm="1">
        <f t="array" ref="BG39">IFERROR(IF(OR(LOWER(TRIM(S$20))=LOWER(TRIM(data2!$U$35)),LOWER(TRIM(S$20))=LOWER(TRIM(data2!$U$36))),FALSE,AND(S$12,IF(AND($G39,$D39="COI"),
IF(AND(teacher_type="R",career_stage="P"),VLOOKUP($BF39,RPI[],COLUMN(RPI[cot1]),FALSE),
IF(AND(teacher_type="R",career_stage="HP"),VLOOKUP($BF39,RHPI[],COLUMN(RHPI[cot1]),FALSE),
IF(AND(teacher_type="TB",career_stage="P"),VLOOKUP($BF39,TBPI[],COLUMN(TBPI[cot1]),FALSE),
IF(AND(teacher_type="TB",career_stage="HP"),VLOOKUP($BF39,TBHPI[],COLUMN(TBHPI[cot1]),FALSE),FALSE)))),
FALSE))),FALSE)</f>
        <v>0</v>
      </c>
      <c r="BH39" s="154" t="b">
        <v>0</v>
      </c>
      <c r="BI39" s="196" t="b" cm="1">
        <f t="array" ref="BI39">IFERROR(IF(OR(LOWER(TRIM(U$20))=LOWER(TRIM(data2!$U$35)),LOWER(TRIM(U$20))=LOWER(TRIM(data2!$U$36))),FALSE,AND(U$12,IF(AND($G39,$D39="COI"),
IF(AND(teacher_type="R",career_stage="P"),VLOOKUP($BF39,RPI[],COLUMN(RPI[cot2]),FALSE),
IF(AND(teacher_type="R",career_stage="HP"),VLOOKUP($BF39,RHPI[],COLUMN(RHPI[cot2]),FALSE),
IF(AND(teacher_type="TB",career_stage="P"),VLOOKUP($BF39,TBPI[],COLUMN(TBPI[cot2]),FALSE),
IF(AND(teacher_type="TB",career_stage="HP"),VLOOKUP($BF39,TBHPI[],COLUMN(TBHPI[cot2]),FALSE),FALSE)))),
FALSE))),FALSE)</f>
        <v>1</v>
      </c>
      <c r="BJ39" s="154" t="b">
        <v>0</v>
      </c>
      <c r="BK39" s="196" t="b" cm="1">
        <f t="array" ref="BK39">IFERROR(IF(OR(LOWER(TRIM(W$20))=LOWER(TRIM(data2!$U$35)),LOWER(TRIM(W$20))=LOWER(TRIM(data2!$U$36))),FALSE,AND(W$12,IF(AND($G39,$D39="COI"),
IF(AND(teacher_type="R",career_stage="P"),VLOOKUP($BF39,RPI[],COLUMN(RPI[cot3]),FALSE),
IF(AND(teacher_type="R",career_stage="HP"),VLOOKUP($BF39,RHPI[],COLUMN(RHPI[cot3]),FALSE),
IF(AND(teacher_type="TB",career_stage="P"),VLOOKUP($BF39,TBPI[],COLUMN(TBPI[cot3]),FALSE),
IF(AND(teacher_type="TB",career_stage="HP"),VLOOKUP($BF39,TBHPI[],COLUMN(TBHPI[cot3]),FALSE),FALSE)))),
FALSE))),FALSE)</f>
        <v>0</v>
      </c>
      <c r="BL39" s="154" t="b">
        <v>0</v>
      </c>
      <c r="BM39" s="196" t="b" cm="1">
        <f t="array" ref="BM39">IFERROR(IF(OR(LOWER(TRIM(Y$20))=LOWER(TRIM(data2!$U$35)),LOWER(TRIM(Y$20))=LOWER(TRIM(data2!$U$36))),FALSE,AND(Y$12,IF(AND($G39,$D39="COI"),
IF(AND(teacher_type="R",career_stage="P"),VLOOKUP($BF39,RPI[],COLUMN(RPI[cot4]),FALSE),
IF(AND(teacher_type="R",career_stage="HP"),VLOOKUP($BF39,RHPI[],COLUMN(RHPI[cot4]),FALSE),
IF(AND(teacher_type="TB",career_stage="P"),VLOOKUP($BF39,TBPI[],COLUMN(TBPI[cot4]),FALSE),
IF(AND(teacher_type="TB",career_stage="HP"),VLOOKUP($BF39,TBHPI[],COLUMN(TBHPI[cot4]),FALSE),FALSE)))),
FALSE))),FALSE)</f>
        <v>1</v>
      </c>
      <c r="BN39" s="154" t="b">
        <v>0</v>
      </c>
      <c r="BO39" s="150">
        <f t="shared" si="16"/>
        <v>2</v>
      </c>
      <c r="BP39" s="196" t="b">
        <f t="shared" si="17"/>
        <v>1</v>
      </c>
      <c r="BQ39" s="196" t="b">
        <f>IFERROR(IF(OR(NOT(CZ39),LOWER(TRIM(S$20))=LOWER(TRIM(data2!$U$35))),TRUE,IF(AND(CZ39,LOWER(TRIM(S$20))=LOWER(TRIM(data2!$U$36))),FALSE)),FALSE)</f>
        <v>1</v>
      </c>
      <c r="BR39" s="196" t="b">
        <f t="shared" si="18"/>
        <v>0</v>
      </c>
      <c r="BS39" s="196" t="b">
        <f>IFERROR(IF(OR(NOT(DB39),LOWER(TRIM(U$20))=LOWER(TRIM(data2!$U$35))),TRUE,IF(AND(DB39,LOWER(TRIM(U$20))=LOWER(TRIM(data2!$U$36))),FALSE)),FALSE)</f>
        <v>0</v>
      </c>
      <c r="BT39" s="196" t="b">
        <f t="shared" si="19"/>
        <v>1</v>
      </c>
      <c r="BU39" s="196" t="b">
        <f>IFERROR(IF(OR(NOT(DD39),LOWER(TRIM(W$20))=LOWER(TRIM(data2!$U$35))),TRUE,IF(AND(DD39,LOWER(TRIM(W$20))=LOWER(TRIM(data2!$U$36))),FALSE)),FALSE)</f>
        <v>1</v>
      </c>
      <c r="BV39" s="196" t="b">
        <f t="shared" si="20"/>
        <v>0</v>
      </c>
      <c r="BW39" s="196" t="b">
        <f>IFERROR(IF(OR(NOT(DF39),LOWER(TRIM(Y$20))=LOWER(TRIM(data2!$U$35))),TRUE,IF(AND(DF39,LOWER(TRIM(Y$20))=LOWER(TRIM(data2!$U$36))),FALSE)),FALSE)</f>
        <v>0</v>
      </c>
      <c r="BY39" s="154" t="str">
        <f t="shared" si="21"/>
        <v/>
      </c>
      <c r="BZ39" s="154" t="str">
        <f t="shared" si="22"/>
        <v>3.5.2-E-COI</v>
      </c>
      <c r="CA39" s="154" t="str">
        <f t="shared" si="23"/>
        <v/>
      </c>
      <c r="CB39" s="154" t="str">
        <f t="shared" si="24"/>
        <v>CE39:CI39</v>
      </c>
      <c r="CC39" s="154" t="str">
        <f t="shared" si="25"/>
        <v>CK39:CO39</v>
      </c>
      <c r="CD39" s="154" t="str">
        <f t="shared" si="26"/>
        <v>CQ39:CU39</v>
      </c>
      <c r="CE39" s="359" cm="1">
        <f t="array" ref="CE39">IFERROR(IF($BY39&lt;&gt;"",
IF(AND(teacher_type="R",career_stage="P"),
    IF(INDEX(RPS[[Outstanding]:[Poor]],MATCH($BY39,RPS[[helper]:[helper]],0),CE$19)&lt;&gt;"",CE$20,""),
IF(AND(teacher_type="R",career_stage="HP"),
    IF(INDEX(RHPS[[Outstanding]:[Poor]],MATCH($BY39,RHPS[[helper]:[helper]],0),CE$19)&lt;&gt;"",CE$20,""),
IF(AND(teacher_type="TB",career_stage="P"),
    IF(INDEX(TBPS[[Outstanding]:[Poor]],MATCH($BY39,TBPS[[helper]:[helper]],0),CE$19)&lt;&gt;"",CE$20,""),
IF(AND(teacher_type="TB",career_stage="HP"),
    IF(INDEX(TBHPS[[Outstanding]:[Poor]],MATCH($BY39,TBHPS[[helper]:[helper]],0),CE$19)&lt;&gt;"",CE$20,""),
CE$20)))),
CE$20),CE$20)</f>
        <v>5</v>
      </c>
      <c r="CF39" s="359" cm="1">
        <f t="array" ref="CF39">IFERROR(IF($BY39&lt;&gt;"",
IF(AND(teacher_type="R",career_stage="P"),
    IF(INDEX(RPS[[Outstanding]:[Poor]],MATCH($BY39,RPS[[helper]:[helper]],0),CF$19)&lt;&gt;"",CF$20,""),
IF(AND(teacher_type="R",career_stage="HP"),
    IF(INDEX(RHPS[[Outstanding]:[Poor]],MATCH($BY39,RHPS[[helper]:[helper]],0),CF$19)&lt;&gt;"",CF$20,""),
IF(AND(teacher_type="TB",career_stage="P"),
    IF(INDEX(TBPS[[Outstanding]:[Poor]],MATCH($BY39,TBPS[[helper]:[helper]],0),CF$19)&lt;&gt;"",CF$20,""),
IF(AND(teacher_type="TB",career_stage="HP"),
    IF(INDEX(TBHPS[[Outstanding]:[Poor]],MATCH($BY39,TBHPS[[helper]:[helper]],0),CF$19)&lt;&gt;"",CF$20,""),
CF$20)))),
CF$20),CF$20)</f>
        <v>4</v>
      </c>
      <c r="CG39" s="359" cm="1">
        <f t="array" ref="CG39">IFERROR(IF($BY39&lt;&gt;"",
IF(AND(teacher_type="R",career_stage="P"),
    IF(INDEX(RPS[[Outstanding]:[Poor]],MATCH($BY39,RPS[[helper]:[helper]],0),CG$19)&lt;&gt;"",CG$20,""),
IF(AND(teacher_type="R",career_stage="HP"),
    IF(INDEX(RHPS[[Outstanding]:[Poor]],MATCH($BY39,RHPS[[helper]:[helper]],0),CG$19)&lt;&gt;"",CG$20,""),
IF(AND(teacher_type="TB",career_stage="P"),
    IF(INDEX(TBPS[[Outstanding]:[Poor]],MATCH($BY39,TBPS[[helper]:[helper]],0),CG$19)&lt;&gt;"",CG$20,""),
IF(AND(teacher_type="TB",career_stage="HP"),
    IF(INDEX(TBHPS[[Outstanding]:[Poor]],MATCH($BY39,TBHPS[[helper]:[helper]],0),CG$19)&lt;&gt;"",CG$20,""),
CG$20)))),
CG$20),CG$20)</f>
        <v>3</v>
      </c>
      <c r="CH39" s="359" cm="1">
        <f t="array" ref="CH39">IFERROR(IF($BY39&lt;&gt;"",
IF(AND(teacher_type="R",career_stage="P"),
    IF(INDEX(RPS[[Outstanding]:[Poor]],MATCH($BY39,RPS[[helper]:[helper]],0),CH$19)&lt;&gt;"",CH$20,""),
IF(AND(teacher_type="R",career_stage="HP"),
    IF(INDEX(RHPS[[Outstanding]:[Poor]],MATCH($BY39,RHPS[[helper]:[helper]],0),CH$19)&lt;&gt;"",CH$20,""),
IF(AND(teacher_type="TB",career_stage="P"),
    IF(INDEX(TBPS[[Outstanding]:[Poor]],MATCH($BY39,TBPS[[helper]:[helper]],0),CH$19)&lt;&gt;"",CH$20,""),
IF(AND(teacher_type="TB",career_stage="HP"),
    IF(INDEX(TBHPS[[Outstanding]:[Poor]],MATCH($BY39,TBHPS[[helper]:[helper]],0),CH$19)&lt;&gt;"",CH$20,""),
CH$20)))),
CH$20),CH$20)</f>
        <v>2</v>
      </c>
      <c r="CI39" s="359" cm="1">
        <f t="array" ref="CI39">IFERROR(IF($BY39&lt;&gt;"",
IF(AND(teacher_type="R",career_stage="P"),
    IF(INDEX(RPS[[Outstanding]:[Poor]],MATCH($BY39,RPS[[helper]:[helper]],0),CI$19)&lt;&gt;"",CI$20,""),
IF(AND(teacher_type="R",career_stage="HP"),
    IF(INDEX(RHPS[[Outstanding]:[Poor]],MATCH($BY39,RHPS[[helper]:[helper]],0),CI$19)&lt;&gt;"",CI$20,""),
IF(AND(teacher_type="TB",career_stage="P"),
    IF(INDEX(TBPS[[Outstanding]:[Poor]],MATCH($BY39,TBPS[[helper]:[helper]],0),CI$19)&lt;&gt;"",CI$20,""),
IF(AND(teacher_type="TB",career_stage="HP"),
    IF(INDEX(TBHPS[[Outstanding]:[Poor]],MATCH($BY39,TBHPS[[helper]:[helper]],0),CI$19)&lt;&gt;"",CI$20,""),
CI$20)))),
CI$20),CI$20)</f>
        <v>1</v>
      </c>
      <c r="CJ39" s="360">
        <f t="shared" si="27"/>
        <v>5</v>
      </c>
      <c r="CK39" s="359" cm="1">
        <f t="array" ref="CK39">IFERROR(IF($BZ39&lt;&gt;"",
IF(AND(teacher_type="R",career_stage="P"),
    IF(INDEX(RPS[[Outstanding]:[Poor]],MATCH($BZ39,RPS[[helper]:[helper]],0),CK$19)&lt;&gt;"",CK$20,""),
IF(AND(teacher_type="R",career_stage="HP"),
    IF(INDEX(RHPS[[Outstanding]:[Poor]],MATCH($BZ39,RHPS[[helper]:[helper]],0),CK$19)&lt;&gt;"",CK$20,""),
IF(AND(teacher_type="TB",career_stage="P"),
    IF(INDEX(TBPS[[Outstanding]:[Poor]],MATCH($BZ39,TBPS[[helper]:[helper]],0),CK$19)&lt;&gt;"",CK$20,""),
IF(AND(teacher_type="TB",career_stage="HP"),
    IF(INDEX(TBHPS[[Outstanding]:[Poor]],MATCH($BZ39,TBHPS[[helper]:[helper]],0),CK$19)&lt;&gt;"",CK$20,""),
CK$20)))),
CK$20),CK$20)</f>
        <v>5</v>
      </c>
      <c r="CL39" s="359" t="str" cm="1">
        <f t="array" ref="CL39">IFERROR(IF($BZ39&lt;&gt;"",
IF(AND(teacher_type="R",career_stage="P"),
    IF(INDEX(RPS[[Outstanding]:[Poor]],MATCH($BZ39,RPS[[helper]:[helper]],0),CL$19)&lt;&gt;"",CL$20,""),
IF(AND(teacher_type="R",career_stage="HP"),
    IF(INDEX(RHPS[[Outstanding]:[Poor]],MATCH($BZ39,RHPS[[helper]:[helper]],0),CL$19)&lt;&gt;"",CL$20,""),
IF(AND(teacher_type="TB",career_stage="P"),
    IF(INDEX(TBPS[[Outstanding]:[Poor]],MATCH($BZ39,TBPS[[helper]:[helper]],0),CL$19)&lt;&gt;"",CL$20,""),
IF(AND(teacher_type="TB",career_stage="HP"),
    IF(INDEX(TBHPS[[Outstanding]:[Poor]],MATCH($BZ39,TBHPS[[helper]:[helper]],0),CL$19)&lt;&gt;"",CL$20,""),
CL$20)))),
CL$20),CL$20)</f>
        <v/>
      </c>
      <c r="CM39" s="359" cm="1">
        <f t="array" ref="CM39">IFERROR(IF($BZ39&lt;&gt;"",
IF(AND(teacher_type="R",career_stage="P"),
    IF(INDEX(RPS[[Outstanding]:[Poor]],MATCH($BZ39,RPS[[helper]:[helper]],0),CM$19)&lt;&gt;"",CM$20,""),
IF(AND(teacher_type="R",career_stage="HP"),
    IF(INDEX(RHPS[[Outstanding]:[Poor]],MATCH($BZ39,RHPS[[helper]:[helper]],0),CM$19)&lt;&gt;"",CM$20,""),
IF(AND(teacher_type="TB",career_stage="P"),
    IF(INDEX(TBPS[[Outstanding]:[Poor]],MATCH($BZ39,TBPS[[helper]:[helper]],0),CM$19)&lt;&gt;"",CM$20,""),
IF(AND(teacher_type="TB",career_stage="HP"),
    IF(INDEX(TBHPS[[Outstanding]:[Poor]],MATCH($BZ39,TBHPS[[helper]:[helper]],0),CM$19)&lt;&gt;"",CM$20,""),
CM$20)))),
CM$20),CM$20)</f>
        <v>3</v>
      </c>
      <c r="CN39" s="359" t="str" cm="1">
        <f t="array" ref="CN39">IFERROR(IF($BZ39&lt;&gt;"",
IF(AND(teacher_type="R",career_stage="P"),
    IF(INDEX(RPS[[Outstanding]:[Poor]],MATCH($BZ39,RPS[[helper]:[helper]],0),CN$19)&lt;&gt;"",CN$20,""),
IF(AND(teacher_type="R",career_stage="HP"),
    IF(INDEX(RHPS[[Outstanding]:[Poor]],MATCH($BZ39,RHPS[[helper]:[helper]],0),CN$19)&lt;&gt;"",CN$20,""),
IF(AND(teacher_type="TB",career_stage="P"),
    IF(INDEX(TBPS[[Outstanding]:[Poor]],MATCH($BZ39,TBPS[[helper]:[helper]],0),CN$19)&lt;&gt;"",CN$20,""),
IF(AND(teacher_type="TB",career_stage="HP"),
    IF(INDEX(TBHPS[[Outstanding]:[Poor]],MATCH($BZ39,TBHPS[[helper]:[helper]],0),CN$19)&lt;&gt;"",CN$20,""),
CN$20)))),
CN$20),CN$20)</f>
        <v/>
      </c>
      <c r="CO39" s="359" cm="1">
        <f t="array" ref="CO39">IFERROR(IF($BZ39&lt;&gt;"",
IF(AND(teacher_type="R",career_stage="P"),
    IF(INDEX(RPS[[Outstanding]:[Poor]],MATCH($BZ39,RPS[[helper]:[helper]],0),CO$19)&lt;&gt;"",CO$20,""),
IF(AND(teacher_type="R",career_stage="HP"),
    IF(INDEX(RHPS[[Outstanding]:[Poor]],MATCH($BZ39,RHPS[[helper]:[helper]],0),CO$19)&lt;&gt;"",CO$20,""),
IF(AND(teacher_type="TB",career_stage="P"),
    IF(INDEX(TBPS[[Outstanding]:[Poor]],MATCH($BZ39,TBPS[[helper]:[helper]],0),CO$19)&lt;&gt;"",CO$20,""),
IF(AND(teacher_type="TB",career_stage="HP"),
    IF(INDEX(TBHPS[[Outstanding]:[Poor]],MATCH($BZ39,TBHPS[[helper]:[helper]],0),CO$19)&lt;&gt;"",CO$20,""),
CO$20)))),
CO$20),CO$20)</f>
        <v>1</v>
      </c>
      <c r="CP39" s="360">
        <f t="shared" si="28"/>
        <v>3</v>
      </c>
      <c r="CQ39" s="359" cm="1">
        <f t="array" ref="CQ39">IFERROR(IF($CA39&lt;&gt;"",
IF(AND(teacher_type="R",career_stage="P"),
    IF(INDEX(RPS[[Outstanding]:[Poor]],MATCH($CA39,RPS[[helper]:[helper]],0),CQ$19)&lt;&gt;"",CQ$20,""),
IF(AND(teacher_type="R",career_stage="HP"),
    IF(INDEX(RHPS[[Outstanding]:[Poor]],MATCH($CA39,RHPS[[helper]:[helper]],0),CQ$19)&lt;&gt;"",CQ$20,""),
IF(AND(teacher_type="TB",career_stage="P"),
    IF(INDEX(TBPS[[Outstanding]:[Poor]],MATCH($CA39,TBPS[[helper]:[helper]],0),CQ$19)&lt;&gt;"",CQ$20,""),
IF(AND(teacher_type="TB",career_stage="HP"),
    IF(INDEX(TBHPS[[Outstanding]:[Poor]],MATCH($CA39,TBHPS[[helper]:[helper]],0),CQ$19)&lt;&gt;"",CQ$20,""),
CQ$20)))),
CQ$20),CQ$20)</f>
        <v>5</v>
      </c>
      <c r="CR39" s="359" cm="1">
        <f t="array" ref="CR39">IFERROR(IF($CA39&lt;&gt;"",
IF(AND(teacher_type="R",career_stage="P"),
    IF(INDEX(RPS[[Outstanding]:[Poor]],MATCH($CA39,RPS[[helper]:[helper]],0),CR$19)&lt;&gt;"",CR$20,""),
IF(AND(teacher_type="R",career_stage="HP"),
    IF(INDEX(RHPS[[Outstanding]:[Poor]],MATCH($CA39,RHPS[[helper]:[helper]],0),CR$19)&lt;&gt;"",CR$20,""),
IF(AND(teacher_type="TB",career_stage="P"),
    IF(INDEX(TBPS[[Outstanding]:[Poor]],MATCH($CA39,TBPS[[helper]:[helper]],0),CR$19)&lt;&gt;"",CR$20,""),
IF(AND(teacher_type="TB",career_stage="HP"),
    IF(INDEX(TBHPS[[Outstanding]:[Poor]],MATCH($CA39,TBHPS[[helper]:[helper]],0),CR$19)&lt;&gt;"",CR$20,""),
CR$20)))),
CR$20),CR$20)</f>
        <v>4</v>
      </c>
      <c r="CS39" s="359" cm="1">
        <f t="array" ref="CS39">IFERROR(IF($CA39&lt;&gt;"",
IF(AND(teacher_type="R",career_stage="P"),
    IF(INDEX(RPS[[Outstanding]:[Poor]],MATCH($CA39,RPS[[helper]:[helper]],0),CS$19)&lt;&gt;"",CS$20,""),
IF(AND(teacher_type="R",career_stage="HP"),
    IF(INDEX(RHPS[[Outstanding]:[Poor]],MATCH($CA39,RHPS[[helper]:[helper]],0),CS$19)&lt;&gt;"",CS$20,""),
IF(AND(teacher_type="TB",career_stage="P"),
    IF(INDEX(TBPS[[Outstanding]:[Poor]],MATCH($CA39,TBPS[[helper]:[helper]],0),CS$19)&lt;&gt;"",CS$20,""),
IF(AND(teacher_type="TB",career_stage="HP"),
    IF(INDEX(TBHPS[[Outstanding]:[Poor]],MATCH($CA39,TBHPS[[helper]:[helper]],0),CS$19)&lt;&gt;"",CS$20,""),
CS$20)))),
CS$20),CS$20)</f>
        <v>3</v>
      </c>
      <c r="CT39" s="359" cm="1">
        <f t="array" ref="CT39">IFERROR(IF($CA39&lt;&gt;"",
IF(AND(teacher_type="R",career_stage="P"),
    IF(INDEX(RPS[[Outstanding]:[Poor]],MATCH($CA39,RPS[[helper]:[helper]],0),CT$19)&lt;&gt;"",CT$20,""),
IF(AND(teacher_type="R",career_stage="HP"),
    IF(INDEX(RHPS[[Outstanding]:[Poor]],MATCH($CA39,RHPS[[helper]:[helper]],0),CT$19)&lt;&gt;"",CT$20,""),
IF(AND(teacher_type="TB",career_stage="P"),
    IF(INDEX(TBPS[[Outstanding]:[Poor]],MATCH($CA39,TBPS[[helper]:[helper]],0),CT$19)&lt;&gt;"",CT$20,""),
IF(AND(teacher_type="TB",career_stage="HP"),
    IF(INDEX(TBHPS[[Outstanding]:[Poor]],MATCH($CA39,TBHPS[[helper]:[helper]],0),CT$19)&lt;&gt;"",CT$20,""),
CT$20)))),
CT$20),CT$20)</f>
        <v>2</v>
      </c>
      <c r="CU39" s="359" cm="1">
        <f t="array" ref="CU39">IFERROR(IF($CA39&lt;&gt;"",
IF(AND(teacher_type="R",career_stage="P"),
    IF(INDEX(RPS[[Outstanding]:[Poor]],MATCH($CA39,RPS[[helper]:[helper]],0),CU$19)&lt;&gt;"",CU$20,""),
IF(AND(teacher_type="R",career_stage="HP"),
    IF(INDEX(RHPS[[Outstanding]:[Poor]],MATCH($CA39,RHPS[[helper]:[helper]],0),CU$19)&lt;&gt;"",CU$20,""),
IF(AND(teacher_type="TB",career_stage="P"),
    IF(INDEX(TBPS[[Outstanding]:[Poor]],MATCH($CA39,TBPS[[helper]:[helper]],0),CU$19)&lt;&gt;"",CU$20,""),
IF(AND(teacher_type="TB",career_stage="HP"),
    IF(INDEX(TBHPS[[Outstanding]:[Poor]],MATCH($CA39,TBHPS[[helper]:[helper]],0),CU$19)&lt;&gt;"",CU$20,""),
CU$20)))),
CU$20),CU$20)</f>
        <v>1</v>
      </c>
      <c r="CV39" s="360">
        <f t="shared" si="29"/>
        <v>5</v>
      </c>
      <c r="CY39" s="443" t="b" cm="1">
        <f t="array" ref="CY39">IFERROR(AND(S$12,IF(AND($G39,$D39="COI"),
IF(AND(teacher_type="R",career_stage="P"),VLOOKUP($BF39,RPI[],COLUMN(RPI[cot1]),FALSE),
IF(AND(teacher_type="R",career_stage="HP"),VLOOKUP($BF39,RHPI[],COLUMN(RHPI[cot1]),FALSE),
IF(AND(teacher_type="TB",career_stage="P"),VLOOKUP($BF39,TBPI[],COLUMN(TBPI[cot1]),FALSE),
IF(AND(teacher_type="TB",career_stage="HP"),VLOOKUP($BF39,TBHPI[],COLUMN(TBHPI[cot1]),FALSE),FALSE)))),
FALSE)),FALSE)</f>
        <v>0</v>
      </c>
      <c r="CZ39" s="443" t="b">
        <f t="shared" si="30"/>
        <v>0</v>
      </c>
      <c r="DA39" s="443" t="b" cm="1">
        <f t="array" ref="DA39">IFERROR(AND(U$12,IF(AND($G39,$D39="COI"),
IF(AND(teacher_type="R",career_stage="P"),VLOOKUP($BF39,RPI[],COLUMN(RPI[cot2]),FALSE),
IF(AND(teacher_type="R",career_stage="HP"),VLOOKUP($BF39,RHPI[],COLUMN(RHPI[cot2]),FALSE),
IF(AND(teacher_type="TB",career_stage="P"),VLOOKUP($BF39,TBPI[],COLUMN(TBPI[cot2]),FALSE),
IF(AND(teacher_type="TB",career_stage="HP"),VLOOKUP($BF39,TBHPI[],COLUMN(TBHPI[cot2]),FALSE),FALSE)))),
FALSE)),FALSE)</f>
        <v>1</v>
      </c>
      <c r="DB39" s="443" t="b">
        <f t="shared" si="31"/>
        <v>1</v>
      </c>
      <c r="DC39" s="443" t="b" cm="1">
        <f t="array" ref="DC39">IFERROR(AND(W$12,IF(AND($G39,$D39="COI"),
IF(AND(teacher_type="R",career_stage="P"),VLOOKUP($BF39,RPI[],COLUMN(RPI[cot3]),FALSE),
IF(AND(teacher_type="R",career_stage="HP"),VLOOKUP($BF39,RHPI[],COLUMN(RHPI[cot3]),FALSE),
IF(AND(teacher_type="TB",career_stage="P"),VLOOKUP($BF39,TBPI[],COLUMN(TBPI[cot3]),FALSE),
IF(AND(teacher_type="TB",career_stage="HP"),VLOOKUP($BF39,TBHPI[],COLUMN(TBHPI[cot3]),FALSE),FALSE)))),
FALSE)),FALSE)</f>
        <v>0</v>
      </c>
      <c r="DD39" s="443" t="b">
        <f t="shared" si="32"/>
        <v>0</v>
      </c>
      <c r="DE39" s="443" t="b" cm="1">
        <f t="array" ref="DE39">IFERROR(AND(Y$12,IF(AND($G39,$D39="COI"),
IF(AND(teacher_type="R",career_stage="P"),VLOOKUP($BF39,RPI[],COLUMN(RPI[cot4]),FALSE),
IF(AND(teacher_type="R",career_stage="HP"),VLOOKUP($BF39,RHPI[],COLUMN(RHPI[cot4]),FALSE),
IF(AND(teacher_type="TB",career_stage="P"),VLOOKUP($BF39,TBPI[],COLUMN(TBPI[cot4]),FALSE),
IF(AND(teacher_type="TB",career_stage="HP"),VLOOKUP($BF39,TBHPI[],COLUMN(TBHPI[cot4]),FALSE),FALSE)))),
FALSE)),FALSE)</f>
        <v>1</v>
      </c>
      <c r="DF39" s="443" t="b">
        <f t="shared" si="33"/>
        <v>1</v>
      </c>
      <c r="DG39" s="150">
        <f t="shared" si="34"/>
        <v>2</v>
      </c>
      <c r="DH39" s="154">
        <f>IF(AND(CY39,LOWER(TRIM(S$20))=LOWER(TRIM(data2!$U$35))),1,0) +
IF(AND(DA39,LOWER(TRIM(U$20))=LOWER(TRIM(data2!$U$35))),1,0) +
IF(AND(DC39,LOWER(TRIM(W$20))=LOWER(TRIM(data2!$U$35))),1,0) +
IF(AND(DE39,LOWER(TRIM(Y$20))=LOWER(TRIM(data2!$U$35))),1,0)</f>
        <v>0</v>
      </c>
      <c r="DJ39" s="154">
        <f t="shared" si="35"/>
        <v>2</v>
      </c>
    </row>
    <row r="40" spans="1:114" s="154" customFormat="1" ht="24.95" hidden="1" customHeight="1" x14ac:dyDescent="0.25">
      <c r="A40" s="156"/>
      <c r="B40" s="154">
        <v>19</v>
      </c>
      <c r="C40" s="150" t="str">
        <f>IFERROR(IF(AND(teacher_type="R",career_stage="P"),VLOOKUP(O40,RPI[],COLUMNS(RPI[[Strand]:[admin_selected_coi_ncoi]]),FALSE),IF(AND(teacher_type="R",career_stage="HP"),VLOOKUP(O40,RHPI[],COLUMNS(RHPI[[Strand]:[admin_selected_coi_ncoi]]),FALSE),IF(AND(teacher_type="TB",career_stage="P"),VLOOKUP(O40,TBPI[],COLUMNS(TBPI[[Strand]:[admin_selected_coi_ncoi]]),FALSE),IF(AND(teacher_type="TB",career_stage="HP"),VLOOKUP(O40,TBHPI[],COLUMNS(TBHPI[[Strand]:[admin_selected_coi_ncoi]]),FALSE),"NCOI")))),"NCOI")</f>
        <v>COI</v>
      </c>
      <c r="D40" s="150" t="str">
        <f t="shared" si="10"/>
        <v/>
      </c>
      <c r="E40" s="150">
        <f>IFERROR(IF(AND(teacher_type="R",career_stage="P"),VLOOKUP($O40,RPI[[Strand]:[Domain]],COLUMNS(RPI[[Strand]:[Domain]]),FALSE),IF(AND(teacher_type="R",career_stage="HP"),VLOOKUP($O40,RHPI[[Strand]:[Domain]],COLUMNS(RHPI[[Strand]:[Domain]]),FALSE),IF(AND(teacher_type="TB",career_stage="P"),VLOOKUP($O40,TBPI[[Strand]:[Domain]],COLUMNS(TBPI[[Strand]:[Domain]]),FALSE),IF(AND(teacher_type="TB",career_stage="HP"),VLOOKUP($O40,TBHPI[[Strand]:[Domain]],COLUMNS(TBHPI[[Strand]:[Domain]]),FALSE),"")))),"")</f>
        <v>3</v>
      </c>
      <c r="F40" s="155" t="b">
        <f>AND(COUNTIFS($E$22:$E40,E40,$G$22:$G40,TRUE)=1,$G40)</f>
        <v>0</v>
      </c>
      <c r="G40" s="212" t="b">
        <f>IFERROR(IF(AND(teacher_type="R",career_stage="P"),VLOOKUP($O40,RPI[],COLUMNS(RPI[[Strand]:[Selected]]),FALSE),IF(AND(teacher_type="R",career_stage="HP"),VLOOKUP($O40,RHPI[],COLUMNS(RHPI[[Strand]:[Selected]]),FALSE),IF(AND(teacher_type="TB",career_stage="P"),VLOOKUP($O40,TBPI[],COLUMNS(TBPI[[Strand]:[Selected]]),FALSE),IF(AND(teacher_type="TB",career_stage="HP"),VLOOKUP($O40,TBHPI[],COLUMNS(TBHPI[[Strand]:[Selected]]),FALSE),FALSE)))),FALSE)</f>
        <v>0</v>
      </c>
      <c r="H40" s="156" t="b">
        <f>IFERROR(IF(AND(teacher_type="R",career_stage="P"),AND(COUNTIFS(RPS[Strand],$O40,RPS[QET],H$21)&gt;0,$G40),IF(AND(teacher_type="R",career_stage="HP"),AND(COUNTIFS(RHPS[Strand],$O40,RHPS[QET],H$21)&gt;0,$G40),IF(AND(teacher_type="TB",career_stage="P"),AND(COUNTIFS(TBPS[Strand],$O40,TBPS[QET],H$21)&gt;0,$G40),IF(AND(teacher_type="TB",career_stage="HP"),AND(COUNTIFS(TBHPS[Strand],$O40,TBHPS[QET],H$21)&gt;0,$G40),FALSE)))),FALSE)</f>
        <v>0</v>
      </c>
      <c r="I40" s="156" t="b">
        <f t="shared" si="11"/>
        <v>0</v>
      </c>
      <c r="J40" s="156" t="b">
        <f>IFERROR(IF(AND(teacher_type="R",career_stage="P"),AND(COUNTIFS(RPS[Strand],$O40,RPS[QET],J$21)&gt;0,$G40),IF(AND(teacher_type="R",career_stage="HP"),AND(COUNTIFS(RHPS[Strand],$O40,RHPS[QET],J$21)&gt;0,$G40),IF(AND(teacher_type="TB",career_stage="P"),AND(COUNTIFS(TBPS[Strand],$O40,TBPS[QET],J$21)&gt;0,$G40),IF(AND(teacher_type="TB",career_stage="HP"),AND(COUNTIFS(TBHPS[Strand],$O40,TBHPS[QET],J$21)&gt;0,$G40),FALSE)))),FALSE)</f>
        <v>0</v>
      </c>
      <c r="K40" s="156" t="b">
        <f>IFERROR(IF(AND(teacher_type="R",career_stage="P"),AND(COUNTIFS(RPS[Strand],$O40,RPS[QET],K$21)&gt;0,$G40),IF(AND(teacher_type="R",career_stage="HP"),AND(COUNTIFS(RHPS[Strand],$O40,RHPS[QET],K$21)&gt;0,$G40),IF(AND(teacher_type="TB",career_stage="P"),AND(COUNTIFS(TBPS[Strand],$O40,TBPS[QET],K$21)&gt;0,$G40),IF(AND(teacher_type="TB",career_stage="HP"),AND(COUNTIFS(TBHPS[Strand],$O40,TBHPS[QET],K$21)&gt;0,$G40),FALSE)))),FALSE)</f>
        <v>0</v>
      </c>
      <c r="L40" s="156" t="b">
        <f t="shared" si="12"/>
        <v>0</v>
      </c>
      <c r="M40" s="165" t="str">
        <f t="shared" si="13"/>
        <v/>
      </c>
      <c r="N40" s="48" t="str">
        <f>IF($G40,COUNTIF($G$22:$G40,TRUE),"")</f>
        <v/>
      </c>
      <c r="O40" s="48" t="str" cm="1">
        <f t="array" ref="O40">IFERROR(IF(AND(teacher_type="R",career_stage="P"),INDEX(RPI[Strand],$B40),IF(AND(teacher_type="R",career_stage="HP"),INDEX(RHPI[Strand],$B40),IF(AND(teacher_type="TB",career_stage="P"),INDEX(TBPI[Strand],$B40),IF(AND(teacher_type="TB",career_stage="HP"),INDEX(TBHPI[Strand],$B40),"")))),"")</f>
        <v>4.1.2</v>
      </c>
      <c r="P40" s="166" t="str">
        <f>$C$40</f>
        <v>COI</v>
      </c>
      <c r="Q40" s="167">
        <f>IFERROR(IF(AND(teacher_type="R",career_stage="P"),VLOOKUP(O40,RPI[],COLUMNS(RPI[[Strand]:[Weight]]),FALSE), IF(AND(teacher_type="R",career_stage="HP"),VLOOKUP(O40,RHPI[],COLUMNS(RHPI[[Strand]:[Weight]]),FALSE), IF(AND(teacher_type="TB",career_stage="P"),VLOOKUP(O40,TBPI[],COLUMNS(TBPI[[Strand]:[Weight]]),FALSE), IF(AND(teacher_type="TB",career_stage="HP"),VLOOKUP(O40,TBHPI[],COLUMNS(TBHPI[[Strand]:[Weight]]),FALSE),0)))),0)</f>
        <v>0</v>
      </c>
      <c r="R40" s="168">
        <f>COUNTIFS($D$22:D40,"COI",$G$22:G40,TRUE)</f>
        <v>8</v>
      </c>
      <c r="S40" s="483"/>
      <c r="T40" s="169" t="str">
        <f>IFERROR(IF(LOWER(TRIM(S$20))=LOWER(TRIM(data2!$U$35)),"",IF(AND($G40,$D40="COI",S$12,CZ40),IF(OR(LOWER(TRIM(S$20))=LOWER(TRIM(data2!$U$36)),ISBLANK(S40)),1,IF(career_stage="P",VLOOKUP(S40,P_COT_vlookup,2,FALSE),IF(career_stage="HP",VLOOKUP(S40,HP_COT_vlookup,2,FALSE),""))),"")),"")</f>
        <v/>
      </c>
      <c r="U40" s="489"/>
      <c r="V40" s="170" t="str">
        <f>IFERROR(IF(LOWER(TRIM(U$20))=LOWER(TRIM(data2!$U$35)),"",IF(AND($G40,$D40="COI",U$12,DB40),IF(OR(LOWER(TRIM(U$20))=LOWER(TRIM(data2!$U$36)),ISBLANK(U40)),1,IF(career_stage="P",VLOOKUP(U40,P_COT_vlookup,2,FALSE),IF(career_stage="HP",VLOOKUP(U40,HP_COT_vlookup,2,FALSE),""))),"")),"")</f>
        <v/>
      </c>
      <c r="W40" s="483"/>
      <c r="X40" s="169" t="str">
        <f>IFERROR(IF(LOWER(TRIM(W$20))=LOWER(TRIM(data2!$U$35)),"",IF(AND($G40,$D40="COI",W$12,DD40),IF(OR(LOWER(TRIM(W$20))=LOWER(TRIM(data2!$U$36)),ISBLANK(W40)),1,IF(career_stage="P",VLOOKUP(W40,P_COT_vlookup,2,FALSE),IF(career_stage="HP",VLOOKUP(W40,HP_COT_vlookup,2,FALSE),""))),"")),"")</f>
        <v/>
      </c>
      <c r="Y40" s="489"/>
      <c r="Z40" s="170" t="str">
        <f>IFERROR(IF(LOWER(TRIM(Y$20))=LOWER(TRIM(data2!$U$35)),"",IF(AND($G40,$D40="COI",Y$12,DF40),IF(OR(LOWER(TRIM(Y$20))=LOWER(TRIM(data2!$U$36)),ISBLANK(Y40)),1,IF(career_stage="P",VLOOKUP(Y40,P_COT_vlookup,2,FALSE),IF(career_stage="HP",VLOOKUP(Y40,HP_COT_vlookup,2,FALSE),""))),"")),"")</f>
        <v/>
      </c>
      <c r="AA40" s="171">
        <f t="shared" si="14"/>
        <v>0</v>
      </c>
      <c r="AB40" s="471"/>
      <c r="AC40" s="473"/>
      <c r="AD40" s="473"/>
      <c r="AE40" s="49">
        <f t="shared" si="2"/>
        <v>0</v>
      </c>
      <c r="AF40" s="49">
        <f t="shared" si="3"/>
        <v>0</v>
      </c>
      <c r="AG40" s="172" t="str">
        <f t="shared" si="4"/>
        <v>Poor</v>
      </c>
      <c r="AI40" s="196" t="b">
        <f t="shared" si="5"/>
        <v>1</v>
      </c>
      <c r="AJ40" s="154" t="b">
        <v>1</v>
      </c>
      <c r="AK40" s="154" t="b">
        <v>1</v>
      </c>
      <c r="AL40" s="196" t="b">
        <f t="shared" si="15"/>
        <v>1</v>
      </c>
      <c r="AM40" s="154" t="b">
        <v>1</v>
      </c>
      <c r="AN40" s="196" t="b">
        <f t="shared" si="15"/>
        <v>1</v>
      </c>
      <c r="AO40" s="154" t="b">
        <v>1</v>
      </c>
      <c r="AP40" s="196" t="b">
        <f t="shared" si="15"/>
        <v>1</v>
      </c>
      <c r="AQ40" s="154" t="b">
        <v>1</v>
      </c>
      <c r="AR40" s="196" t="b">
        <f t="shared" si="15"/>
        <v>1</v>
      </c>
      <c r="AS40" s="154" t="b">
        <v>1</v>
      </c>
      <c r="AT40" s="154" t="b">
        <v>1</v>
      </c>
      <c r="AU40" s="196" t="b">
        <f t="shared" si="6"/>
        <v>1</v>
      </c>
      <c r="AV40" s="196" t="b">
        <f t="shared" si="7"/>
        <v>1</v>
      </c>
      <c r="AW40" s="196" t="b">
        <f t="shared" si="8"/>
        <v>1</v>
      </c>
      <c r="AX40" s="47" t="b">
        <v>1</v>
      </c>
      <c r="AY40" s="47" t="b">
        <v>1</v>
      </c>
      <c r="AZ40" s="47" t="b">
        <v>1</v>
      </c>
      <c r="BF40" s="154" t="str">
        <f t="shared" si="9"/>
        <v>4.1.2</v>
      </c>
      <c r="BG40" s="196" t="b" cm="1">
        <f t="array" ref="BG40">IFERROR(IF(OR(LOWER(TRIM(S$20))=LOWER(TRIM(data2!$U$35)),LOWER(TRIM(S$20))=LOWER(TRIM(data2!$U$36))),FALSE,AND(S$12,IF(AND($G40,$D40="COI"),
IF(AND(teacher_type="R",career_stage="P"),VLOOKUP($BF40,RPI[],COLUMN(RPI[cot1]),FALSE),
IF(AND(teacher_type="R",career_stage="HP"),VLOOKUP($BF40,RHPI[],COLUMN(RHPI[cot1]),FALSE),
IF(AND(teacher_type="TB",career_stage="P"),VLOOKUP($BF40,TBPI[],COLUMN(TBPI[cot1]),FALSE),
IF(AND(teacher_type="TB",career_stage="HP"),VLOOKUP($BF40,TBHPI[],COLUMN(TBHPI[cot1]),FALSE),FALSE)))),
FALSE))),FALSE)</f>
        <v>0</v>
      </c>
      <c r="BH40" s="154" t="b">
        <v>0</v>
      </c>
      <c r="BI40" s="196" t="b" cm="1">
        <f t="array" ref="BI40">IFERROR(IF(OR(LOWER(TRIM(U$20))=LOWER(TRIM(data2!$U$35)),LOWER(TRIM(U$20))=LOWER(TRIM(data2!$U$36))),FALSE,AND(U$12,IF(AND($G40,$D40="COI"),
IF(AND(teacher_type="R",career_stage="P"),VLOOKUP($BF40,RPI[],COLUMN(RPI[cot2]),FALSE),
IF(AND(teacher_type="R",career_stage="HP"),VLOOKUP($BF40,RHPI[],COLUMN(RHPI[cot2]),FALSE),
IF(AND(teacher_type="TB",career_stage="P"),VLOOKUP($BF40,TBPI[],COLUMN(TBPI[cot2]),FALSE),
IF(AND(teacher_type="TB",career_stage="HP"),VLOOKUP($BF40,TBHPI[],COLUMN(TBHPI[cot2]),FALSE),FALSE)))),
FALSE))),FALSE)</f>
        <v>0</v>
      </c>
      <c r="BJ40" s="154" t="b">
        <v>0</v>
      </c>
      <c r="BK40" s="196" t="b" cm="1">
        <f t="array" ref="BK40">IFERROR(IF(OR(LOWER(TRIM(W$20))=LOWER(TRIM(data2!$U$35)),LOWER(TRIM(W$20))=LOWER(TRIM(data2!$U$36))),FALSE,AND(W$12,IF(AND($G40,$D40="COI"),
IF(AND(teacher_type="R",career_stage="P"),VLOOKUP($BF40,RPI[],COLUMN(RPI[cot3]),FALSE),
IF(AND(teacher_type="R",career_stage="HP"),VLOOKUP($BF40,RHPI[],COLUMN(RHPI[cot3]),FALSE),
IF(AND(teacher_type="TB",career_stage="P"),VLOOKUP($BF40,TBPI[],COLUMN(TBPI[cot3]),FALSE),
IF(AND(teacher_type="TB",career_stage="HP"),VLOOKUP($BF40,TBHPI[],COLUMN(TBHPI[cot3]),FALSE),FALSE)))),
FALSE))),FALSE)</f>
        <v>0</v>
      </c>
      <c r="BL40" s="154" t="b">
        <v>0</v>
      </c>
      <c r="BM40" s="196" t="b" cm="1">
        <f t="array" ref="BM40">IFERROR(IF(OR(LOWER(TRIM(Y$20))=LOWER(TRIM(data2!$U$35)),LOWER(TRIM(Y$20))=LOWER(TRIM(data2!$U$36))),FALSE,AND(Y$12,IF(AND($G40,$D40="COI"),
IF(AND(teacher_type="R",career_stage="P"),VLOOKUP($BF40,RPI[],COLUMN(RPI[cot4]),FALSE),
IF(AND(teacher_type="R",career_stage="HP"),VLOOKUP($BF40,RHPI[],COLUMN(RHPI[cot4]),FALSE),
IF(AND(teacher_type="TB",career_stage="P"),VLOOKUP($BF40,TBPI[],COLUMN(TBPI[cot4]),FALSE),
IF(AND(teacher_type="TB",career_stage="HP"),VLOOKUP($BF40,TBHPI[],COLUMN(TBHPI[cot4]),FALSE),FALSE)))),
FALSE))),FALSE)</f>
        <v>0</v>
      </c>
      <c r="BN40" s="154" t="b">
        <v>0</v>
      </c>
      <c r="BO40" s="150">
        <f t="shared" si="16"/>
        <v>0</v>
      </c>
      <c r="BP40" s="196" t="b">
        <f t="shared" si="17"/>
        <v>0</v>
      </c>
      <c r="BQ40" s="196" t="b">
        <f>IFERROR(IF(OR(NOT(CZ40),LOWER(TRIM(S$20))=LOWER(TRIM(data2!$U$35))),TRUE,IF(AND(CZ40,LOWER(TRIM(S$20))=LOWER(TRIM(data2!$U$36))),FALSE)),FALSE)</f>
        <v>1</v>
      </c>
      <c r="BR40" s="196" t="b">
        <f t="shared" si="18"/>
        <v>0</v>
      </c>
      <c r="BS40" s="196" t="b">
        <f>IFERROR(IF(OR(NOT(DB40),LOWER(TRIM(U$20))=LOWER(TRIM(data2!$U$35))),TRUE,IF(AND(DB40,LOWER(TRIM(U$20))=LOWER(TRIM(data2!$U$36))),FALSE)),FALSE)</f>
        <v>1</v>
      </c>
      <c r="BT40" s="196" t="b">
        <f t="shared" si="19"/>
        <v>0</v>
      </c>
      <c r="BU40" s="196" t="b">
        <f>IFERROR(IF(OR(NOT(DD40),LOWER(TRIM(W$20))=LOWER(TRIM(data2!$U$35))),TRUE,IF(AND(DD40,LOWER(TRIM(W$20))=LOWER(TRIM(data2!$U$36))),FALSE)),FALSE)</f>
        <v>1</v>
      </c>
      <c r="BV40" s="196" t="b">
        <f t="shared" si="20"/>
        <v>0</v>
      </c>
      <c r="BW40" s="196" t="b">
        <f>IFERROR(IF(OR(NOT(DF40),LOWER(TRIM(Y$20))=LOWER(TRIM(data2!$U$35))),TRUE,IF(AND(DF40,LOWER(TRIM(Y$20))=LOWER(TRIM(data2!$U$36))),FALSE)),FALSE)</f>
        <v>1</v>
      </c>
      <c r="BY40" s="154" t="str">
        <f t="shared" si="21"/>
        <v/>
      </c>
      <c r="BZ40" s="154" t="str">
        <f t="shared" si="22"/>
        <v/>
      </c>
      <c r="CA40" s="154" t="str">
        <f t="shared" si="23"/>
        <v/>
      </c>
      <c r="CB40" s="154" t="str">
        <f t="shared" si="24"/>
        <v>CE40:CI40</v>
      </c>
      <c r="CC40" s="154" t="str">
        <f t="shared" si="25"/>
        <v>CK40:CO40</v>
      </c>
      <c r="CD40" s="154" t="str">
        <f t="shared" si="26"/>
        <v>CQ40:CU40</v>
      </c>
      <c r="CE40" s="359" cm="1">
        <f t="array" ref="CE40">IFERROR(IF($BY40&lt;&gt;"",
IF(AND(teacher_type="R",career_stage="P"),
    IF(INDEX(RPS[[Outstanding]:[Poor]],MATCH($BY40,RPS[[helper]:[helper]],0),CE$19)&lt;&gt;"",CE$20,""),
IF(AND(teacher_type="R",career_stage="HP"),
    IF(INDEX(RHPS[[Outstanding]:[Poor]],MATCH($BY40,RHPS[[helper]:[helper]],0),CE$19)&lt;&gt;"",CE$20,""),
IF(AND(teacher_type="TB",career_stage="P"),
    IF(INDEX(TBPS[[Outstanding]:[Poor]],MATCH($BY40,TBPS[[helper]:[helper]],0),CE$19)&lt;&gt;"",CE$20,""),
IF(AND(teacher_type="TB",career_stage="HP"),
    IF(INDEX(TBHPS[[Outstanding]:[Poor]],MATCH($BY40,TBHPS[[helper]:[helper]],0),CE$19)&lt;&gt;"",CE$20,""),
CE$20)))),
CE$20),CE$20)</f>
        <v>5</v>
      </c>
      <c r="CF40" s="359" cm="1">
        <f t="array" ref="CF40">IFERROR(IF($BY40&lt;&gt;"",
IF(AND(teacher_type="R",career_stage="P"),
    IF(INDEX(RPS[[Outstanding]:[Poor]],MATCH($BY40,RPS[[helper]:[helper]],0),CF$19)&lt;&gt;"",CF$20,""),
IF(AND(teacher_type="R",career_stage="HP"),
    IF(INDEX(RHPS[[Outstanding]:[Poor]],MATCH($BY40,RHPS[[helper]:[helper]],0),CF$19)&lt;&gt;"",CF$20,""),
IF(AND(teacher_type="TB",career_stage="P"),
    IF(INDEX(TBPS[[Outstanding]:[Poor]],MATCH($BY40,TBPS[[helper]:[helper]],0),CF$19)&lt;&gt;"",CF$20,""),
IF(AND(teacher_type="TB",career_stage="HP"),
    IF(INDEX(TBHPS[[Outstanding]:[Poor]],MATCH($BY40,TBHPS[[helper]:[helper]],0),CF$19)&lt;&gt;"",CF$20,""),
CF$20)))),
CF$20),CF$20)</f>
        <v>4</v>
      </c>
      <c r="CG40" s="359" cm="1">
        <f t="array" ref="CG40">IFERROR(IF($BY40&lt;&gt;"",
IF(AND(teacher_type="R",career_stage="P"),
    IF(INDEX(RPS[[Outstanding]:[Poor]],MATCH($BY40,RPS[[helper]:[helper]],0),CG$19)&lt;&gt;"",CG$20,""),
IF(AND(teacher_type="R",career_stage="HP"),
    IF(INDEX(RHPS[[Outstanding]:[Poor]],MATCH($BY40,RHPS[[helper]:[helper]],0),CG$19)&lt;&gt;"",CG$20,""),
IF(AND(teacher_type="TB",career_stage="P"),
    IF(INDEX(TBPS[[Outstanding]:[Poor]],MATCH($BY40,TBPS[[helper]:[helper]],0),CG$19)&lt;&gt;"",CG$20,""),
IF(AND(teacher_type="TB",career_stage="HP"),
    IF(INDEX(TBHPS[[Outstanding]:[Poor]],MATCH($BY40,TBHPS[[helper]:[helper]],0),CG$19)&lt;&gt;"",CG$20,""),
CG$20)))),
CG$20),CG$20)</f>
        <v>3</v>
      </c>
      <c r="CH40" s="359" cm="1">
        <f t="array" ref="CH40">IFERROR(IF($BY40&lt;&gt;"",
IF(AND(teacher_type="R",career_stage="P"),
    IF(INDEX(RPS[[Outstanding]:[Poor]],MATCH($BY40,RPS[[helper]:[helper]],0),CH$19)&lt;&gt;"",CH$20,""),
IF(AND(teacher_type="R",career_stage="HP"),
    IF(INDEX(RHPS[[Outstanding]:[Poor]],MATCH($BY40,RHPS[[helper]:[helper]],0),CH$19)&lt;&gt;"",CH$20,""),
IF(AND(teacher_type="TB",career_stage="P"),
    IF(INDEX(TBPS[[Outstanding]:[Poor]],MATCH($BY40,TBPS[[helper]:[helper]],0),CH$19)&lt;&gt;"",CH$20,""),
IF(AND(teacher_type="TB",career_stage="HP"),
    IF(INDEX(TBHPS[[Outstanding]:[Poor]],MATCH($BY40,TBHPS[[helper]:[helper]],0),CH$19)&lt;&gt;"",CH$20,""),
CH$20)))),
CH$20),CH$20)</f>
        <v>2</v>
      </c>
      <c r="CI40" s="359" cm="1">
        <f t="array" ref="CI40">IFERROR(IF($BY40&lt;&gt;"",
IF(AND(teacher_type="R",career_stage="P"),
    IF(INDEX(RPS[[Outstanding]:[Poor]],MATCH($BY40,RPS[[helper]:[helper]],0),CI$19)&lt;&gt;"",CI$20,""),
IF(AND(teacher_type="R",career_stage="HP"),
    IF(INDEX(RHPS[[Outstanding]:[Poor]],MATCH($BY40,RHPS[[helper]:[helper]],0),CI$19)&lt;&gt;"",CI$20,""),
IF(AND(teacher_type="TB",career_stage="P"),
    IF(INDEX(TBPS[[Outstanding]:[Poor]],MATCH($BY40,TBPS[[helper]:[helper]],0),CI$19)&lt;&gt;"",CI$20,""),
IF(AND(teacher_type="TB",career_stage="HP"),
    IF(INDEX(TBHPS[[Outstanding]:[Poor]],MATCH($BY40,TBHPS[[helper]:[helper]],0),CI$19)&lt;&gt;"",CI$20,""),
CI$20)))),
CI$20),CI$20)</f>
        <v>1</v>
      </c>
      <c r="CJ40" s="360">
        <f t="shared" si="27"/>
        <v>5</v>
      </c>
      <c r="CK40" s="359" cm="1">
        <f t="array" ref="CK40">IFERROR(IF($BZ40&lt;&gt;"",
IF(AND(teacher_type="R",career_stage="P"),
    IF(INDEX(RPS[[Outstanding]:[Poor]],MATCH($BZ40,RPS[[helper]:[helper]],0),CK$19)&lt;&gt;"",CK$20,""),
IF(AND(teacher_type="R",career_stage="HP"),
    IF(INDEX(RHPS[[Outstanding]:[Poor]],MATCH($BZ40,RHPS[[helper]:[helper]],0),CK$19)&lt;&gt;"",CK$20,""),
IF(AND(teacher_type="TB",career_stage="P"),
    IF(INDEX(TBPS[[Outstanding]:[Poor]],MATCH($BZ40,TBPS[[helper]:[helper]],0),CK$19)&lt;&gt;"",CK$20,""),
IF(AND(teacher_type="TB",career_stage="HP"),
    IF(INDEX(TBHPS[[Outstanding]:[Poor]],MATCH($BZ40,TBHPS[[helper]:[helper]],0),CK$19)&lt;&gt;"",CK$20,""),
CK$20)))),
CK$20),CK$20)</f>
        <v>5</v>
      </c>
      <c r="CL40" s="359" cm="1">
        <f t="array" ref="CL40">IFERROR(IF($BZ40&lt;&gt;"",
IF(AND(teacher_type="R",career_stage="P"),
    IF(INDEX(RPS[[Outstanding]:[Poor]],MATCH($BZ40,RPS[[helper]:[helper]],0),CL$19)&lt;&gt;"",CL$20,""),
IF(AND(teacher_type="R",career_stage="HP"),
    IF(INDEX(RHPS[[Outstanding]:[Poor]],MATCH($BZ40,RHPS[[helper]:[helper]],0),CL$19)&lt;&gt;"",CL$20,""),
IF(AND(teacher_type="TB",career_stage="P"),
    IF(INDEX(TBPS[[Outstanding]:[Poor]],MATCH($BZ40,TBPS[[helper]:[helper]],0),CL$19)&lt;&gt;"",CL$20,""),
IF(AND(teacher_type="TB",career_stage="HP"),
    IF(INDEX(TBHPS[[Outstanding]:[Poor]],MATCH($BZ40,TBHPS[[helper]:[helper]],0),CL$19)&lt;&gt;"",CL$20,""),
CL$20)))),
CL$20),CL$20)</f>
        <v>4</v>
      </c>
      <c r="CM40" s="359" cm="1">
        <f t="array" ref="CM40">IFERROR(IF($BZ40&lt;&gt;"",
IF(AND(teacher_type="R",career_stage="P"),
    IF(INDEX(RPS[[Outstanding]:[Poor]],MATCH($BZ40,RPS[[helper]:[helper]],0),CM$19)&lt;&gt;"",CM$20,""),
IF(AND(teacher_type="R",career_stage="HP"),
    IF(INDEX(RHPS[[Outstanding]:[Poor]],MATCH($BZ40,RHPS[[helper]:[helper]],0),CM$19)&lt;&gt;"",CM$20,""),
IF(AND(teacher_type="TB",career_stage="P"),
    IF(INDEX(TBPS[[Outstanding]:[Poor]],MATCH($BZ40,TBPS[[helper]:[helper]],0),CM$19)&lt;&gt;"",CM$20,""),
IF(AND(teacher_type="TB",career_stage="HP"),
    IF(INDEX(TBHPS[[Outstanding]:[Poor]],MATCH($BZ40,TBHPS[[helper]:[helper]],0),CM$19)&lt;&gt;"",CM$20,""),
CM$20)))),
CM$20),CM$20)</f>
        <v>3</v>
      </c>
      <c r="CN40" s="359" cm="1">
        <f t="array" ref="CN40">IFERROR(IF($BZ40&lt;&gt;"",
IF(AND(teacher_type="R",career_stage="P"),
    IF(INDEX(RPS[[Outstanding]:[Poor]],MATCH($BZ40,RPS[[helper]:[helper]],0),CN$19)&lt;&gt;"",CN$20,""),
IF(AND(teacher_type="R",career_stage="HP"),
    IF(INDEX(RHPS[[Outstanding]:[Poor]],MATCH($BZ40,RHPS[[helper]:[helper]],0),CN$19)&lt;&gt;"",CN$20,""),
IF(AND(teacher_type="TB",career_stage="P"),
    IF(INDEX(TBPS[[Outstanding]:[Poor]],MATCH($BZ40,TBPS[[helper]:[helper]],0),CN$19)&lt;&gt;"",CN$20,""),
IF(AND(teacher_type="TB",career_stage="HP"),
    IF(INDEX(TBHPS[[Outstanding]:[Poor]],MATCH($BZ40,TBHPS[[helper]:[helper]],0),CN$19)&lt;&gt;"",CN$20,""),
CN$20)))),
CN$20),CN$20)</f>
        <v>2</v>
      </c>
      <c r="CO40" s="359" cm="1">
        <f t="array" ref="CO40">IFERROR(IF($BZ40&lt;&gt;"",
IF(AND(teacher_type="R",career_stage="P"),
    IF(INDEX(RPS[[Outstanding]:[Poor]],MATCH($BZ40,RPS[[helper]:[helper]],0),CO$19)&lt;&gt;"",CO$20,""),
IF(AND(teacher_type="R",career_stage="HP"),
    IF(INDEX(RHPS[[Outstanding]:[Poor]],MATCH($BZ40,RHPS[[helper]:[helper]],0),CO$19)&lt;&gt;"",CO$20,""),
IF(AND(teacher_type="TB",career_stage="P"),
    IF(INDEX(TBPS[[Outstanding]:[Poor]],MATCH($BZ40,TBPS[[helper]:[helper]],0),CO$19)&lt;&gt;"",CO$20,""),
IF(AND(teacher_type="TB",career_stage="HP"),
    IF(INDEX(TBHPS[[Outstanding]:[Poor]],MATCH($BZ40,TBHPS[[helper]:[helper]],0),CO$19)&lt;&gt;"",CO$20,""),
CO$20)))),
CO$20),CO$20)</f>
        <v>1</v>
      </c>
      <c r="CP40" s="360">
        <f t="shared" si="28"/>
        <v>5</v>
      </c>
      <c r="CQ40" s="359" cm="1">
        <f t="array" ref="CQ40">IFERROR(IF($CA40&lt;&gt;"",
IF(AND(teacher_type="R",career_stage="P"),
    IF(INDEX(RPS[[Outstanding]:[Poor]],MATCH($CA40,RPS[[helper]:[helper]],0),CQ$19)&lt;&gt;"",CQ$20,""),
IF(AND(teacher_type="R",career_stage="HP"),
    IF(INDEX(RHPS[[Outstanding]:[Poor]],MATCH($CA40,RHPS[[helper]:[helper]],0),CQ$19)&lt;&gt;"",CQ$20,""),
IF(AND(teacher_type="TB",career_stage="P"),
    IF(INDEX(TBPS[[Outstanding]:[Poor]],MATCH($CA40,TBPS[[helper]:[helper]],0),CQ$19)&lt;&gt;"",CQ$20,""),
IF(AND(teacher_type="TB",career_stage="HP"),
    IF(INDEX(TBHPS[[Outstanding]:[Poor]],MATCH($CA40,TBHPS[[helper]:[helper]],0),CQ$19)&lt;&gt;"",CQ$20,""),
CQ$20)))),
CQ$20),CQ$20)</f>
        <v>5</v>
      </c>
      <c r="CR40" s="359" cm="1">
        <f t="array" ref="CR40">IFERROR(IF($CA40&lt;&gt;"",
IF(AND(teacher_type="R",career_stage="P"),
    IF(INDEX(RPS[[Outstanding]:[Poor]],MATCH($CA40,RPS[[helper]:[helper]],0),CR$19)&lt;&gt;"",CR$20,""),
IF(AND(teacher_type="R",career_stage="HP"),
    IF(INDEX(RHPS[[Outstanding]:[Poor]],MATCH($CA40,RHPS[[helper]:[helper]],0),CR$19)&lt;&gt;"",CR$20,""),
IF(AND(teacher_type="TB",career_stage="P"),
    IF(INDEX(TBPS[[Outstanding]:[Poor]],MATCH($CA40,TBPS[[helper]:[helper]],0),CR$19)&lt;&gt;"",CR$20,""),
IF(AND(teacher_type="TB",career_stage="HP"),
    IF(INDEX(TBHPS[[Outstanding]:[Poor]],MATCH($CA40,TBHPS[[helper]:[helper]],0),CR$19)&lt;&gt;"",CR$20,""),
CR$20)))),
CR$20),CR$20)</f>
        <v>4</v>
      </c>
      <c r="CS40" s="359" cm="1">
        <f t="array" ref="CS40">IFERROR(IF($CA40&lt;&gt;"",
IF(AND(teacher_type="R",career_stage="P"),
    IF(INDEX(RPS[[Outstanding]:[Poor]],MATCH($CA40,RPS[[helper]:[helper]],0),CS$19)&lt;&gt;"",CS$20,""),
IF(AND(teacher_type="R",career_stage="HP"),
    IF(INDEX(RHPS[[Outstanding]:[Poor]],MATCH($CA40,RHPS[[helper]:[helper]],0),CS$19)&lt;&gt;"",CS$20,""),
IF(AND(teacher_type="TB",career_stage="P"),
    IF(INDEX(TBPS[[Outstanding]:[Poor]],MATCH($CA40,TBPS[[helper]:[helper]],0),CS$19)&lt;&gt;"",CS$20,""),
IF(AND(teacher_type="TB",career_stage="HP"),
    IF(INDEX(TBHPS[[Outstanding]:[Poor]],MATCH($CA40,TBHPS[[helper]:[helper]],0),CS$19)&lt;&gt;"",CS$20,""),
CS$20)))),
CS$20),CS$20)</f>
        <v>3</v>
      </c>
      <c r="CT40" s="359" cm="1">
        <f t="array" ref="CT40">IFERROR(IF($CA40&lt;&gt;"",
IF(AND(teacher_type="R",career_stage="P"),
    IF(INDEX(RPS[[Outstanding]:[Poor]],MATCH($CA40,RPS[[helper]:[helper]],0),CT$19)&lt;&gt;"",CT$20,""),
IF(AND(teacher_type="R",career_stage="HP"),
    IF(INDEX(RHPS[[Outstanding]:[Poor]],MATCH($CA40,RHPS[[helper]:[helper]],0),CT$19)&lt;&gt;"",CT$20,""),
IF(AND(teacher_type="TB",career_stage="P"),
    IF(INDEX(TBPS[[Outstanding]:[Poor]],MATCH($CA40,TBPS[[helper]:[helper]],0),CT$19)&lt;&gt;"",CT$20,""),
IF(AND(teacher_type="TB",career_stage="HP"),
    IF(INDEX(TBHPS[[Outstanding]:[Poor]],MATCH($CA40,TBHPS[[helper]:[helper]],0),CT$19)&lt;&gt;"",CT$20,""),
CT$20)))),
CT$20),CT$20)</f>
        <v>2</v>
      </c>
      <c r="CU40" s="359" cm="1">
        <f t="array" ref="CU40">IFERROR(IF($CA40&lt;&gt;"",
IF(AND(teacher_type="R",career_stage="P"),
    IF(INDEX(RPS[[Outstanding]:[Poor]],MATCH($CA40,RPS[[helper]:[helper]],0),CU$19)&lt;&gt;"",CU$20,""),
IF(AND(teacher_type="R",career_stage="HP"),
    IF(INDEX(RHPS[[Outstanding]:[Poor]],MATCH($CA40,RHPS[[helper]:[helper]],0),CU$19)&lt;&gt;"",CU$20,""),
IF(AND(teacher_type="TB",career_stage="P"),
    IF(INDEX(TBPS[[Outstanding]:[Poor]],MATCH($CA40,TBPS[[helper]:[helper]],0),CU$19)&lt;&gt;"",CU$20,""),
IF(AND(teacher_type="TB",career_stage="HP"),
    IF(INDEX(TBHPS[[Outstanding]:[Poor]],MATCH($CA40,TBHPS[[helper]:[helper]],0),CU$19)&lt;&gt;"",CU$20,""),
CU$20)))),
CU$20),CU$20)</f>
        <v>1</v>
      </c>
      <c r="CV40" s="360">
        <f t="shared" si="29"/>
        <v>5</v>
      </c>
      <c r="CY40" s="443" t="b" cm="1">
        <f t="array" ref="CY40">IFERROR(AND(S$12,IF(AND($G40,$D40="COI"),
IF(AND(teacher_type="R",career_stage="P"),VLOOKUP($BF40,RPI[],COLUMN(RPI[cot1]),FALSE),
IF(AND(teacher_type="R",career_stage="HP"),VLOOKUP($BF40,RHPI[],COLUMN(RHPI[cot1]),FALSE),
IF(AND(teacher_type="TB",career_stage="P"),VLOOKUP($BF40,TBPI[],COLUMN(TBPI[cot1]),FALSE),
IF(AND(teacher_type="TB",career_stage="HP"),VLOOKUP($BF40,TBHPI[],COLUMN(TBHPI[cot1]),FALSE),FALSE)))),
FALSE)),FALSE)</f>
        <v>0</v>
      </c>
      <c r="CZ40" s="443" t="b">
        <f t="shared" si="30"/>
        <v>0</v>
      </c>
      <c r="DA40" s="443" t="b" cm="1">
        <f t="array" ref="DA40">IFERROR(AND(U$12,IF(AND($G40,$D40="COI"),
IF(AND(teacher_type="R",career_stage="P"),VLOOKUP($BF40,RPI[],COLUMN(RPI[cot2]),FALSE),
IF(AND(teacher_type="R",career_stage="HP"),VLOOKUP($BF40,RHPI[],COLUMN(RHPI[cot2]),FALSE),
IF(AND(teacher_type="TB",career_stage="P"),VLOOKUP($BF40,TBPI[],COLUMN(TBPI[cot2]),FALSE),
IF(AND(teacher_type="TB",career_stage="HP"),VLOOKUP($BF40,TBHPI[],COLUMN(TBHPI[cot2]),FALSE),FALSE)))),
FALSE)),FALSE)</f>
        <v>0</v>
      </c>
      <c r="DB40" s="443" t="b">
        <f t="shared" si="31"/>
        <v>0</v>
      </c>
      <c r="DC40" s="443" t="b" cm="1">
        <f t="array" ref="DC40">IFERROR(AND(W$12,IF(AND($G40,$D40="COI"),
IF(AND(teacher_type="R",career_stage="P"),VLOOKUP($BF40,RPI[],COLUMN(RPI[cot3]),FALSE),
IF(AND(teacher_type="R",career_stage="HP"),VLOOKUP($BF40,RHPI[],COLUMN(RHPI[cot3]),FALSE),
IF(AND(teacher_type="TB",career_stage="P"),VLOOKUP($BF40,TBPI[],COLUMN(TBPI[cot3]),FALSE),
IF(AND(teacher_type="TB",career_stage="HP"),VLOOKUP($BF40,TBHPI[],COLUMN(TBHPI[cot3]),FALSE),FALSE)))),
FALSE)),FALSE)</f>
        <v>0</v>
      </c>
      <c r="DD40" s="443" t="b">
        <f t="shared" si="32"/>
        <v>0</v>
      </c>
      <c r="DE40" s="443" t="b" cm="1">
        <f t="array" ref="DE40">IFERROR(AND(Y$12,IF(AND($G40,$D40="COI"),
IF(AND(teacher_type="R",career_stage="P"),VLOOKUP($BF40,RPI[],COLUMN(RPI[cot4]),FALSE),
IF(AND(teacher_type="R",career_stage="HP"),VLOOKUP($BF40,RHPI[],COLUMN(RHPI[cot4]),FALSE),
IF(AND(teacher_type="TB",career_stage="P"),VLOOKUP($BF40,TBPI[],COLUMN(TBPI[cot4]),FALSE),
IF(AND(teacher_type="TB",career_stage="HP"),VLOOKUP($BF40,TBHPI[],COLUMN(TBHPI[cot4]),FALSE),FALSE)))),
FALSE)),FALSE)</f>
        <v>0</v>
      </c>
      <c r="DF40" s="443" t="b">
        <f t="shared" si="33"/>
        <v>0</v>
      </c>
      <c r="DG40" s="150">
        <f t="shared" si="34"/>
        <v>0</v>
      </c>
      <c r="DH40" s="154">
        <f>IF(AND(CY40,LOWER(TRIM(S$20))=LOWER(TRIM(data2!$U$35))),1,0) +
IF(AND(DA40,LOWER(TRIM(U$20))=LOWER(TRIM(data2!$U$35))),1,0) +
IF(AND(DC40,LOWER(TRIM(W$20))=LOWER(TRIM(data2!$U$35))),1,0) +
IF(AND(DE40,LOWER(TRIM(Y$20))=LOWER(TRIM(data2!$U$35))),1,0)</f>
        <v>0</v>
      </c>
      <c r="DJ40" s="154">
        <f t="shared" si="35"/>
        <v>0</v>
      </c>
    </row>
    <row r="41" spans="1:114" s="154" customFormat="1" ht="24.95" customHeight="1" x14ac:dyDescent="0.25">
      <c r="A41" s="156"/>
      <c r="B41" s="154">
        <v>20</v>
      </c>
      <c r="C41" s="150" t="str">
        <f>IFERROR(IF(AND(teacher_type="R",career_stage="P"),VLOOKUP(O41,RPI[],COLUMNS(RPI[[Strand]:[admin_selected_coi_ncoi]]),FALSE),IF(AND(teacher_type="R",career_stage="HP"),VLOOKUP(O41,RHPI[],COLUMNS(RHPI[[Strand]:[admin_selected_coi_ncoi]]),FALSE),IF(AND(teacher_type="TB",career_stage="P"),VLOOKUP(O41,TBPI[],COLUMNS(TBPI[[Strand]:[admin_selected_coi_ncoi]]),FALSE),IF(AND(teacher_type="TB",career_stage="HP"),VLOOKUP(O41,TBHPI[],COLUMNS(TBHPI[[Strand]:[admin_selected_coi_ncoi]]),FALSE),"NCOI")))),"NCOI")</f>
        <v>NCOI</v>
      </c>
      <c r="D41" s="150" t="str">
        <f t="shared" si="10"/>
        <v>NCOI</v>
      </c>
      <c r="E41" s="150">
        <f>IFERROR(IF(AND(teacher_type="R",career_stage="P"),VLOOKUP($O41,RPI[[Strand]:[Domain]],COLUMNS(RPI[[Strand]:[Domain]]),FALSE),IF(AND(teacher_type="R",career_stage="HP"),VLOOKUP($O41,RHPI[[Strand]:[Domain]],COLUMNS(RHPI[[Strand]:[Domain]]),FALSE),IF(AND(teacher_type="TB",career_stage="P"),VLOOKUP($O41,TBPI[[Strand]:[Domain]],COLUMNS(TBPI[[Strand]:[Domain]]),FALSE),IF(AND(teacher_type="TB",career_stage="HP"),VLOOKUP($O41,TBHPI[[Strand]:[Domain]],COLUMNS(TBHPI[[Strand]:[Domain]]),FALSE),"")))),"")</f>
        <v>3</v>
      </c>
      <c r="F41" s="155" t="b">
        <f>AND(COUNTIFS($E$22:$E41,E41,$G$22:$G41,TRUE)=1,$G41)</f>
        <v>1</v>
      </c>
      <c r="G41" s="212" t="b">
        <f>IFERROR(IF(AND(teacher_type="R",career_stage="P"),VLOOKUP($O41,RPI[],COLUMNS(RPI[[Strand]:[Selected]]),FALSE),IF(AND(teacher_type="R",career_stage="HP"),VLOOKUP($O41,RHPI[],COLUMNS(RHPI[[Strand]:[Selected]]),FALSE),IF(AND(teacher_type="TB",career_stage="P"),VLOOKUP($O41,TBPI[],COLUMNS(TBPI[[Strand]:[Selected]]),FALSE),IF(AND(teacher_type="TB",career_stage="HP"),VLOOKUP($O41,TBHPI[],COLUMNS(TBHPI[[Strand]:[Selected]]),FALSE),FALSE)))),FALSE)</f>
        <v>1</v>
      </c>
      <c r="H41" s="156" t="b">
        <f>IFERROR(IF(AND(teacher_type="R",career_stage="P"),AND(COUNTIFS(RPS[Strand],$O41,RPS[QET],H$21)&gt;0,$G41),IF(AND(teacher_type="R",career_stage="HP"),AND(COUNTIFS(RHPS[Strand],$O41,RHPS[QET],H$21)&gt;0,$G41),IF(AND(teacher_type="TB",career_stage="P"),AND(COUNTIFS(TBPS[Strand],$O41,TBPS[QET],H$21)&gt;0,$G41),IF(AND(teacher_type="TB",career_stage="HP"),AND(COUNTIFS(TBHPS[Strand],$O41,TBHPS[QET],H$21)&gt;0,$G41),FALSE)))),FALSE)</f>
        <v>1</v>
      </c>
      <c r="I41" s="156" t="b">
        <f t="shared" si="11"/>
        <v>1</v>
      </c>
      <c r="J41" s="156" t="b">
        <f>IFERROR(IF(AND(teacher_type="R",career_stage="P"),AND(COUNTIFS(RPS[Strand],$O41,RPS[QET],J$21)&gt;0,$G41),IF(AND(teacher_type="R",career_stage="HP"),AND(COUNTIFS(RHPS[Strand],$O41,RHPS[QET],J$21)&gt;0,$G41),IF(AND(teacher_type="TB",career_stage="P"),AND(COUNTIFS(TBPS[Strand],$O41,TBPS[QET],J$21)&gt;0,$G41),IF(AND(teacher_type="TB",career_stage="HP"),AND(COUNTIFS(TBHPS[Strand],$O41,TBHPS[QET],J$21)&gt;0,$G41),FALSE)))),FALSE)</f>
        <v>1</v>
      </c>
      <c r="K41" s="156" t="b">
        <f>IFERROR(IF(AND(teacher_type="R",career_stage="P"),AND(COUNTIFS(RPS[Strand],$O41,RPS[QET],K$21)&gt;0,$G41),IF(AND(teacher_type="R",career_stage="HP"),AND(COUNTIFS(RHPS[Strand],$O41,RHPS[QET],K$21)&gt;0,$G41),IF(AND(teacher_type="TB",career_stage="P"),AND(COUNTIFS(TBPS[Strand],$O41,TBPS[QET],K$21)&gt;0,$G41),IF(AND(teacher_type="TB",career_stage="HP"),AND(COUNTIFS(TBHPS[Strand],$O41,TBHPS[QET],K$21)&gt;0,$G41),FALSE)))),FALSE)</f>
        <v>0</v>
      </c>
      <c r="L41" s="156" t="b">
        <f t="shared" si="12"/>
        <v>0</v>
      </c>
      <c r="M41" s="165">
        <f t="shared" si="13"/>
        <v>3</v>
      </c>
      <c r="N41" s="48">
        <f>IF($G41,COUNTIF($G$22:$G41,TRUE),"")</f>
        <v>9</v>
      </c>
      <c r="O41" s="48" t="str" cm="1">
        <f t="array" ref="O41">IFERROR(IF(AND(teacher_type="R",career_stage="P"),INDEX(RPI[Strand],$B41),IF(AND(teacher_type="R",career_stage="HP"),INDEX(RHPI[Strand],$B41),IF(AND(teacher_type="TB",career_stage="P"),INDEX(TBPI[Strand],$B41),IF(AND(teacher_type="TB",career_stage="HP"),INDEX(TBHPI[Strand],$B41),"")))),"")</f>
        <v>4.2.2</v>
      </c>
      <c r="P41" s="166" t="str">
        <f>$C$41</f>
        <v>NCOI</v>
      </c>
      <c r="Q41" s="167">
        <f>IFERROR(IF(AND(teacher_type="R",career_stage="P"),VLOOKUP(O41,RPI[],COLUMNS(RPI[[Strand]:[Weight]]),FALSE), IF(AND(teacher_type="R",career_stage="HP"),VLOOKUP(O41,RHPI[],COLUMNS(RHPI[[Strand]:[Weight]]),FALSE), IF(AND(teacher_type="TB",career_stage="P"),VLOOKUP(O41,TBPI[],COLUMNS(TBPI[[Strand]:[Weight]]),FALSE), IF(AND(teacher_type="TB",career_stage="HP"),VLOOKUP(O41,TBHPI[],COLUMNS(TBHPI[[Strand]:[Weight]]),FALSE),0)))),0)</f>
        <v>7.0000000000000007E-2</v>
      </c>
      <c r="R41" s="168">
        <f>COUNTIFS($D$22:D41,"COI",$G$22:G41,TRUE)</f>
        <v>8</v>
      </c>
      <c r="S41" s="483"/>
      <c r="T41" s="169" t="str">
        <f>IFERROR(IF(LOWER(TRIM(S$20))=LOWER(TRIM(data2!$U$35)),"",IF(AND($G41,$D41="COI",S$12,CZ41),IF(OR(LOWER(TRIM(S$20))=LOWER(TRIM(data2!$U$36)),ISBLANK(S41)),1,IF(career_stage="P",VLOOKUP(S41,P_COT_vlookup,2,FALSE),IF(career_stage="HP",VLOOKUP(S41,HP_COT_vlookup,2,FALSE),""))),"")),"")</f>
        <v/>
      </c>
      <c r="U41" s="489"/>
      <c r="V41" s="170" t="str">
        <f>IFERROR(IF(LOWER(TRIM(U$20))=LOWER(TRIM(data2!$U$35)),"",IF(AND($G41,$D41="COI",U$12,DB41),IF(OR(LOWER(TRIM(U$20))=LOWER(TRIM(data2!$U$36)),ISBLANK(U41)),1,IF(career_stage="P",VLOOKUP(U41,P_COT_vlookup,2,FALSE),IF(career_stage="HP",VLOOKUP(U41,HP_COT_vlookup,2,FALSE),""))),"")),"")</f>
        <v/>
      </c>
      <c r="W41" s="483"/>
      <c r="X41" s="169" t="str">
        <f>IFERROR(IF(LOWER(TRIM(W$20))=LOWER(TRIM(data2!$U$35)),"",IF(AND($G41,$D41="COI",W$12,DD41),IF(OR(LOWER(TRIM(W$20))=LOWER(TRIM(data2!$U$36)),ISBLANK(W41)),1,IF(career_stage="P",VLOOKUP(W41,P_COT_vlookup,2,FALSE),IF(career_stage="HP",VLOOKUP(W41,HP_COT_vlookup,2,FALSE),""))),"")),"")</f>
        <v/>
      </c>
      <c r="Y41" s="489"/>
      <c r="Z41" s="170" t="str">
        <f>IFERROR(IF(LOWER(TRIM(Y$20))=LOWER(TRIM(data2!$U$35)),"",IF(AND($G41,$D41="COI",Y$12,DF41),IF(OR(LOWER(TRIM(Y$20))=LOWER(TRIM(data2!$U$36)),ISBLANK(Y41)),1,IF(career_stage="P",VLOOKUP(Y41,P_COT_vlookup,2,FALSE),IF(career_stage="HP",VLOOKUP(Y41,HP_COT_vlookup,2,FALSE),""))),"")),"")</f>
        <v/>
      </c>
      <c r="AA41" s="171">
        <f t="shared" si="14"/>
        <v>0</v>
      </c>
      <c r="AB41" s="459">
        <v>4</v>
      </c>
      <c r="AC41" s="462">
        <v>4</v>
      </c>
      <c r="AD41" s="473"/>
      <c r="AE41" s="49">
        <f t="shared" si="2"/>
        <v>4</v>
      </c>
      <c r="AF41" s="49">
        <f t="shared" si="3"/>
        <v>0.28000000000000003</v>
      </c>
      <c r="AG41" s="172" t="str">
        <f t="shared" si="4"/>
        <v>Very Satisfactory</v>
      </c>
      <c r="AI41" s="196" t="b">
        <f t="shared" si="5"/>
        <v>1</v>
      </c>
      <c r="AJ41" s="154" t="b">
        <v>1</v>
      </c>
      <c r="AK41" s="154" t="b">
        <v>1</v>
      </c>
      <c r="AL41" s="196" t="b">
        <f t="shared" si="15"/>
        <v>1</v>
      </c>
      <c r="AM41" s="154" t="b">
        <v>1</v>
      </c>
      <c r="AN41" s="196" t="b">
        <f t="shared" si="15"/>
        <v>1</v>
      </c>
      <c r="AO41" s="154" t="b">
        <v>1</v>
      </c>
      <c r="AP41" s="196" t="b">
        <f t="shared" si="15"/>
        <v>1</v>
      </c>
      <c r="AQ41" s="154" t="b">
        <v>1</v>
      </c>
      <c r="AR41" s="196" t="b">
        <f t="shared" si="15"/>
        <v>1</v>
      </c>
      <c r="AS41" s="154" t="b">
        <v>1</v>
      </c>
      <c r="AT41" s="154" t="b">
        <v>1</v>
      </c>
      <c r="AU41" s="196" t="b">
        <f t="shared" si="6"/>
        <v>1</v>
      </c>
      <c r="AV41" s="196" t="b">
        <f t="shared" si="7"/>
        <v>1</v>
      </c>
      <c r="AW41" s="196" t="b">
        <f t="shared" si="8"/>
        <v>1</v>
      </c>
      <c r="AX41" s="47" t="b">
        <v>1</v>
      </c>
      <c r="AY41" s="47" t="b">
        <v>1</v>
      </c>
      <c r="AZ41" s="47" t="b">
        <v>1</v>
      </c>
      <c r="BF41" s="154" t="str">
        <f t="shared" si="9"/>
        <v>4.2.2</v>
      </c>
      <c r="BG41" s="196" t="b" cm="1">
        <f t="array" ref="BG41">IFERROR(IF(OR(LOWER(TRIM(S$20))=LOWER(TRIM(data2!$U$35)),LOWER(TRIM(S$20))=LOWER(TRIM(data2!$U$36))),FALSE,AND(S$12,IF(AND($G41,$D41="COI"),
IF(AND(teacher_type="R",career_stage="P"),VLOOKUP($BF41,RPI[],COLUMN(RPI[cot1]),FALSE),
IF(AND(teacher_type="R",career_stage="HP"),VLOOKUP($BF41,RHPI[],COLUMN(RHPI[cot1]),FALSE),
IF(AND(teacher_type="TB",career_stage="P"),VLOOKUP($BF41,TBPI[],COLUMN(TBPI[cot1]),FALSE),
IF(AND(teacher_type="TB",career_stage="HP"),VLOOKUP($BF41,TBHPI[],COLUMN(TBHPI[cot1]),FALSE),FALSE)))),
FALSE))),FALSE)</f>
        <v>0</v>
      </c>
      <c r="BH41" s="154" t="b">
        <v>0</v>
      </c>
      <c r="BI41" s="196" t="b" cm="1">
        <f t="array" ref="BI41">IFERROR(IF(OR(LOWER(TRIM(U$20))=LOWER(TRIM(data2!$U$35)),LOWER(TRIM(U$20))=LOWER(TRIM(data2!$U$36))),FALSE,AND(U$12,IF(AND($G41,$D41="COI"),
IF(AND(teacher_type="R",career_stage="P"),VLOOKUP($BF41,RPI[],COLUMN(RPI[cot2]),FALSE),
IF(AND(teacher_type="R",career_stage="HP"),VLOOKUP($BF41,RHPI[],COLUMN(RHPI[cot2]),FALSE),
IF(AND(teacher_type="TB",career_stage="P"),VLOOKUP($BF41,TBPI[],COLUMN(TBPI[cot2]),FALSE),
IF(AND(teacher_type="TB",career_stage="HP"),VLOOKUP($BF41,TBHPI[],COLUMN(TBHPI[cot2]),FALSE),FALSE)))),
FALSE))),FALSE)</f>
        <v>0</v>
      </c>
      <c r="BJ41" s="154" t="b">
        <v>0</v>
      </c>
      <c r="BK41" s="196" t="b" cm="1">
        <f t="array" ref="BK41">IFERROR(IF(OR(LOWER(TRIM(W$20))=LOWER(TRIM(data2!$U$35)),LOWER(TRIM(W$20))=LOWER(TRIM(data2!$U$36))),FALSE,AND(W$12,IF(AND($G41,$D41="COI"),
IF(AND(teacher_type="R",career_stage="P"),VLOOKUP($BF41,RPI[],COLUMN(RPI[cot3]),FALSE),
IF(AND(teacher_type="R",career_stage="HP"),VLOOKUP($BF41,RHPI[],COLUMN(RHPI[cot3]),FALSE),
IF(AND(teacher_type="TB",career_stage="P"),VLOOKUP($BF41,TBPI[],COLUMN(TBPI[cot3]),FALSE),
IF(AND(teacher_type="TB",career_stage="HP"),VLOOKUP($BF41,TBHPI[],COLUMN(TBHPI[cot3]),FALSE),FALSE)))),
FALSE))),FALSE)</f>
        <v>0</v>
      </c>
      <c r="BL41" s="154" t="b">
        <v>0</v>
      </c>
      <c r="BM41" s="196" t="b" cm="1">
        <f t="array" ref="BM41">IFERROR(IF(OR(LOWER(TRIM(Y$20))=LOWER(TRIM(data2!$U$35)),LOWER(TRIM(Y$20))=LOWER(TRIM(data2!$U$36))),FALSE,AND(Y$12,IF(AND($G41,$D41="COI"),
IF(AND(teacher_type="R",career_stage="P"),VLOOKUP($BF41,RPI[],COLUMN(RPI[cot4]),FALSE),
IF(AND(teacher_type="R",career_stage="HP"),VLOOKUP($BF41,RHPI[],COLUMN(RHPI[cot4]),FALSE),
IF(AND(teacher_type="TB",career_stage="P"),VLOOKUP($BF41,TBPI[],COLUMN(TBPI[cot4]),FALSE),
IF(AND(teacher_type="TB",career_stage="HP"),VLOOKUP($BF41,TBHPI[],COLUMN(TBHPI[cot4]),FALSE),FALSE)))),
FALSE))),FALSE)</f>
        <v>0</v>
      </c>
      <c r="BN41" s="154" t="b">
        <v>0</v>
      </c>
      <c r="BO41" s="150">
        <f t="shared" si="16"/>
        <v>0</v>
      </c>
      <c r="BP41" s="196" t="b">
        <f t="shared" si="17"/>
        <v>0</v>
      </c>
      <c r="BQ41" s="196" t="b">
        <f>IFERROR(IF(OR(NOT(CZ41),LOWER(TRIM(S$20))=LOWER(TRIM(data2!$U$35))),TRUE,IF(AND(CZ41,LOWER(TRIM(S$20))=LOWER(TRIM(data2!$U$36))),FALSE)),FALSE)</f>
        <v>1</v>
      </c>
      <c r="BR41" s="196" t="b">
        <f t="shared" si="18"/>
        <v>0</v>
      </c>
      <c r="BS41" s="196" t="b">
        <f>IFERROR(IF(OR(NOT(DB41),LOWER(TRIM(U$20))=LOWER(TRIM(data2!$U$35))),TRUE,IF(AND(DB41,LOWER(TRIM(U$20))=LOWER(TRIM(data2!$U$36))),FALSE)),FALSE)</f>
        <v>1</v>
      </c>
      <c r="BT41" s="196" t="b">
        <f t="shared" si="19"/>
        <v>0</v>
      </c>
      <c r="BU41" s="196" t="b">
        <f>IFERROR(IF(OR(NOT(DD41),LOWER(TRIM(W$20))=LOWER(TRIM(data2!$U$35))),TRUE,IF(AND(DD41,LOWER(TRIM(W$20))=LOWER(TRIM(data2!$U$36))),FALSE)),FALSE)</f>
        <v>1</v>
      </c>
      <c r="BV41" s="196" t="b">
        <f t="shared" si="20"/>
        <v>0</v>
      </c>
      <c r="BW41" s="196" t="b">
        <f>IFERROR(IF(OR(NOT(DF41),LOWER(TRIM(Y$20))=LOWER(TRIM(data2!$U$35))),TRUE,IF(AND(DF41,LOWER(TRIM(Y$20))=LOWER(TRIM(data2!$U$36))),FALSE)),FALSE)</f>
        <v>1</v>
      </c>
      <c r="BY41" s="154" t="str">
        <f t="shared" si="21"/>
        <v>4.2.2-Q-NCOI</v>
      </c>
      <c r="BZ41" s="154" t="str">
        <f t="shared" si="22"/>
        <v>4.2.2-E-NCOI</v>
      </c>
      <c r="CA41" s="154" t="str">
        <f t="shared" si="23"/>
        <v/>
      </c>
      <c r="CB41" s="154" t="str">
        <f t="shared" si="24"/>
        <v>CE41:CI41</v>
      </c>
      <c r="CC41" s="154" t="str">
        <f t="shared" si="25"/>
        <v>CK41:CO41</v>
      </c>
      <c r="CD41" s="154" t="str">
        <f t="shared" si="26"/>
        <v>CQ41:CU41</v>
      </c>
      <c r="CE41" s="359" cm="1">
        <f t="array" ref="CE41">IFERROR(IF($BY41&lt;&gt;"",
IF(AND(teacher_type="R",career_stage="P"),
    IF(INDEX(RPS[[Outstanding]:[Poor]],MATCH($BY41,RPS[[helper]:[helper]],0),CE$19)&lt;&gt;"",CE$20,""),
IF(AND(teacher_type="R",career_stage="HP"),
    IF(INDEX(RHPS[[Outstanding]:[Poor]],MATCH($BY41,RHPS[[helper]:[helper]],0),CE$19)&lt;&gt;"",CE$20,""),
IF(AND(teacher_type="TB",career_stage="P"),
    IF(INDEX(TBPS[[Outstanding]:[Poor]],MATCH($BY41,TBPS[[helper]:[helper]],0),CE$19)&lt;&gt;"",CE$20,""),
IF(AND(teacher_type="TB",career_stage="HP"),
    IF(INDEX(TBHPS[[Outstanding]:[Poor]],MATCH($BY41,TBHPS[[helper]:[helper]],0),CE$19)&lt;&gt;"",CE$20,""),
CE$20)))),
CE$20),CE$20)</f>
        <v>5</v>
      </c>
      <c r="CF41" s="359" cm="1">
        <f t="array" ref="CF41">IFERROR(IF($BY41&lt;&gt;"",
IF(AND(teacher_type="R",career_stage="P"),
    IF(INDEX(RPS[[Outstanding]:[Poor]],MATCH($BY41,RPS[[helper]:[helper]],0),CF$19)&lt;&gt;"",CF$20,""),
IF(AND(teacher_type="R",career_stage="HP"),
    IF(INDEX(RHPS[[Outstanding]:[Poor]],MATCH($BY41,RHPS[[helper]:[helper]],0),CF$19)&lt;&gt;"",CF$20,""),
IF(AND(teacher_type="TB",career_stage="P"),
    IF(INDEX(TBPS[[Outstanding]:[Poor]],MATCH($BY41,TBPS[[helper]:[helper]],0),CF$19)&lt;&gt;"",CF$20,""),
IF(AND(teacher_type="TB",career_stage="HP"),
    IF(INDEX(TBHPS[[Outstanding]:[Poor]],MATCH($BY41,TBHPS[[helper]:[helper]],0),CF$19)&lt;&gt;"",CF$20,""),
CF$20)))),
CF$20),CF$20)</f>
        <v>4</v>
      </c>
      <c r="CG41" s="359" cm="1">
        <f t="array" ref="CG41">IFERROR(IF($BY41&lt;&gt;"",
IF(AND(teacher_type="R",career_stage="P"),
    IF(INDEX(RPS[[Outstanding]:[Poor]],MATCH($BY41,RPS[[helper]:[helper]],0),CG$19)&lt;&gt;"",CG$20,""),
IF(AND(teacher_type="R",career_stage="HP"),
    IF(INDEX(RHPS[[Outstanding]:[Poor]],MATCH($BY41,RHPS[[helper]:[helper]],0),CG$19)&lt;&gt;"",CG$20,""),
IF(AND(teacher_type="TB",career_stage="P"),
    IF(INDEX(TBPS[[Outstanding]:[Poor]],MATCH($BY41,TBPS[[helper]:[helper]],0),CG$19)&lt;&gt;"",CG$20,""),
IF(AND(teacher_type="TB",career_stage="HP"),
    IF(INDEX(TBHPS[[Outstanding]:[Poor]],MATCH($BY41,TBHPS[[helper]:[helper]],0),CG$19)&lt;&gt;"",CG$20,""),
CG$20)))),
CG$20),CG$20)</f>
        <v>3</v>
      </c>
      <c r="CH41" s="359" cm="1">
        <f t="array" ref="CH41">IFERROR(IF($BY41&lt;&gt;"",
IF(AND(teacher_type="R",career_stage="P"),
    IF(INDEX(RPS[[Outstanding]:[Poor]],MATCH($BY41,RPS[[helper]:[helper]],0),CH$19)&lt;&gt;"",CH$20,""),
IF(AND(teacher_type="R",career_stage="HP"),
    IF(INDEX(RHPS[[Outstanding]:[Poor]],MATCH($BY41,RHPS[[helper]:[helper]],0),CH$19)&lt;&gt;"",CH$20,""),
IF(AND(teacher_type="TB",career_stage="P"),
    IF(INDEX(TBPS[[Outstanding]:[Poor]],MATCH($BY41,TBPS[[helper]:[helper]],0),CH$19)&lt;&gt;"",CH$20,""),
IF(AND(teacher_type="TB",career_stage="HP"),
    IF(INDEX(TBHPS[[Outstanding]:[Poor]],MATCH($BY41,TBHPS[[helper]:[helper]],0),CH$19)&lt;&gt;"",CH$20,""),
CH$20)))),
CH$20),CH$20)</f>
        <v>2</v>
      </c>
      <c r="CI41" s="359" cm="1">
        <f t="array" ref="CI41">IFERROR(IF($BY41&lt;&gt;"",
IF(AND(teacher_type="R",career_stage="P"),
    IF(INDEX(RPS[[Outstanding]:[Poor]],MATCH($BY41,RPS[[helper]:[helper]],0),CI$19)&lt;&gt;"",CI$20,""),
IF(AND(teacher_type="R",career_stage="HP"),
    IF(INDEX(RHPS[[Outstanding]:[Poor]],MATCH($BY41,RHPS[[helper]:[helper]],0),CI$19)&lt;&gt;"",CI$20,""),
IF(AND(teacher_type="TB",career_stage="P"),
    IF(INDEX(TBPS[[Outstanding]:[Poor]],MATCH($BY41,TBPS[[helper]:[helper]],0),CI$19)&lt;&gt;"",CI$20,""),
IF(AND(teacher_type="TB",career_stage="HP"),
    IF(INDEX(TBHPS[[Outstanding]:[Poor]],MATCH($BY41,TBHPS[[helper]:[helper]],0),CI$19)&lt;&gt;"",CI$20,""),
CI$20)))),
CI$20),CI$20)</f>
        <v>1</v>
      </c>
      <c r="CJ41" s="360">
        <f t="shared" si="27"/>
        <v>5</v>
      </c>
      <c r="CK41" s="359" cm="1">
        <f t="array" ref="CK41">IFERROR(IF($BZ41&lt;&gt;"",
IF(AND(teacher_type="R",career_stage="P"),
    IF(INDEX(RPS[[Outstanding]:[Poor]],MATCH($BZ41,RPS[[helper]:[helper]],0),CK$19)&lt;&gt;"",CK$20,""),
IF(AND(teacher_type="R",career_stage="HP"),
    IF(INDEX(RHPS[[Outstanding]:[Poor]],MATCH($BZ41,RHPS[[helper]:[helper]],0),CK$19)&lt;&gt;"",CK$20,""),
IF(AND(teacher_type="TB",career_stage="P"),
    IF(INDEX(TBPS[[Outstanding]:[Poor]],MATCH($BZ41,TBPS[[helper]:[helper]],0),CK$19)&lt;&gt;"",CK$20,""),
IF(AND(teacher_type="TB",career_stage="HP"),
    IF(INDEX(TBHPS[[Outstanding]:[Poor]],MATCH($BZ41,TBHPS[[helper]:[helper]],0),CK$19)&lt;&gt;"",CK$20,""),
CK$20)))),
CK$20),CK$20)</f>
        <v>5</v>
      </c>
      <c r="CL41" s="359" cm="1">
        <f t="array" ref="CL41">IFERROR(IF($BZ41&lt;&gt;"",
IF(AND(teacher_type="R",career_stage="P"),
    IF(INDEX(RPS[[Outstanding]:[Poor]],MATCH($BZ41,RPS[[helper]:[helper]],0),CL$19)&lt;&gt;"",CL$20,""),
IF(AND(teacher_type="R",career_stage="HP"),
    IF(INDEX(RHPS[[Outstanding]:[Poor]],MATCH($BZ41,RHPS[[helper]:[helper]],0),CL$19)&lt;&gt;"",CL$20,""),
IF(AND(teacher_type="TB",career_stage="P"),
    IF(INDEX(TBPS[[Outstanding]:[Poor]],MATCH($BZ41,TBPS[[helper]:[helper]],0),CL$19)&lt;&gt;"",CL$20,""),
IF(AND(teacher_type="TB",career_stage="HP"),
    IF(INDEX(TBHPS[[Outstanding]:[Poor]],MATCH($BZ41,TBHPS[[helper]:[helper]],0),CL$19)&lt;&gt;"",CL$20,""),
CL$20)))),
CL$20),CL$20)</f>
        <v>4</v>
      </c>
      <c r="CM41" s="359" cm="1">
        <f t="array" ref="CM41">IFERROR(IF($BZ41&lt;&gt;"",
IF(AND(teacher_type="R",career_stage="P"),
    IF(INDEX(RPS[[Outstanding]:[Poor]],MATCH($BZ41,RPS[[helper]:[helper]],0),CM$19)&lt;&gt;"",CM$20,""),
IF(AND(teacher_type="R",career_stage="HP"),
    IF(INDEX(RHPS[[Outstanding]:[Poor]],MATCH($BZ41,RHPS[[helper]:[helper]],0),CM$19)&lt;&gt;"",CM$20,""),
IF(AND(teacher_type="TB",career_stage="P"),
    IF(INDEX(TBPS[[Outstanding]:[Poor]],MATCH($BZ41,TBPS[[helper]:[helper]],0),CM$19)&lt;&gt;"",CM$20,""),
IF(AND(teacher_type="TB",career_stage="HP"),
    IF(INDEX(TBHPS[[Outstanding]:[Poor]],MATCH($BZ41,TBHPS[[helper]:[helper]],0),CM$19)&lt;&gt;"",CM$20,""),
CM$20)))),
CM$20),CM$20)</f>
        <v>3</v>
      </c>
      <c r="CN41" s="359" cm="1">
        <f t="array" ref="CN41">IFERROR(IF($BZ41&lt;&gt;"",
IF(AND(teacher_type="R",career_stage="P"),
    IF(INDEX(RPS[[Outstanding]:[Poor]],MATCH($BZ41,RPS[[helper]:[helper]],0),CN$19)&lt;&gt;"",CN$20,""),
IF(AND(teacher_type="R",career_stage="HP"),
    IF(INDEX(RHPS[[Outstanding]:[Poor]],MATCH($BZ41,RHPS[[helper]:[helper]],0),CN$19)&lt;&gt;"",CN$20,""),
IF(AND(teacher_type="TB",career_stage="P"),
    IF(INDEX(TBPS[[Outstanding]:[Poor]],MATCH($BZ41,TBPS[[helper]:[helper]],0),CN$19)&lt;&gt;"",CN$20,""),
IF(AND(teacher_type="TB",career_stage="HP"),
    IF(INDEX(TBHPS[[Outstanding]:[Poor]],MATCH($BZ41,TBHPS[[helper]:[helper]],0),CN$19)&lt;&gt;"",CN$20,""),
CN$20)))),
CN$20),CN$20)</f>
        <v>2</v>
      </c>
      <c r="CO41" s="359" cm="1">
        <f t="array" ref="CO41">IFERROR(IF($BZ41&lt;&gt;"",
IF(AND(teacher_type="R",career_stage="P"),
    IF(INDEX(RPS[[Outstanding]:[Poor]],MATCH($BZ41,RPS[[helper]:[helper]],0),CO$19)&lt;&gt;"",CO$20,""),
IF(AND(teacher_type="R",career_stage="HP"),
    IF(INDEX(RHPS[[Outstanding]:[Poor]],MATCH($BZ41,RHPS[[helper]:[helper]],0),CO$19)&lt;&gt;"",CO$20,""),
IF(AND(teacher_type="TB",career_stage="P"),
    IF(INDEX(TBPS[[Outstanding]:[Poor]],MATCH($BZ41,TBPS[[helper]:[helper]],0),CO$19)&lt;&gt;"",CO$20,""),
IF(AND(teacher_type="TB",career_stage="HP"),
    IF(INDEX(TBHPS[[Outstanding]:[Poor]],MATCH($BZ41,TBHPS[[helper]:[helper]],0),CO$19)&lt;&gt;"",CO$20,""),
CO$20)))),
CO$20),CO$20)</f>
        <v>1</v>
      </c>
      <c r="CP41" s="360">
        <f t="shared" si="28"/>
        <v>5</v>
      </c>
      <c r="CQ41" s="359" cm="1">
        <f t="array" ref="CQ41">IFERROR(IF($CA41&lt;&gt;"",
IF(AND(teacher_type="R",career_stage="P"),
    IF(INDEX(RPS[[Outstanding]:[Poor]],MATCH($CA41,RPS[[helper]:[helper]],0),CQ$19)&lt;&gt;"",CQ$20,""),
IF(AND(teacher_type="R",career_stage="HP"),
    IF(INDEX(RHPS[[Outstanding]:[Poor]],MATCH($CA41,RHPS[[helper]:[helper]],0),CQ$19)&lt;&gt;"",CQ$20,""),
IF(AND(teacher_type="TB",career_stage="P"),
    IF(INDEX(TBPS[[Outstanding]:[Poor]],MATCH($CA41,TBPS[[helper]:[helper]],0),CQ$19)&lt;&gt;"",CQ$20,""),
IF(AND(teacher_type="TB",career_stage="HP"),
    IF(INDEX(TBHPS[[Outstanding]:[Poor]],MATCH($CA41,TBHPS[[helper]:[helper]],0),CQ$19)&lt;&gt;"",CQ$20,""),
CQ$20)))),
CQ$20),CQ$20)</f>
        <v>5</v>
      </c>
      <c r="CR41" s="359" cm="1">
        <f t="array" ref="CR41">IFERROR(IF($CA41&lt;&gt;"",
IF(AND(teacher_type="R",career_stage="P"),
    IF(INDEX(RPS[[Outstanding]:[Poor]],MATCH($CA41,RPS[[helper]:[helper]],0),CR$19)&lt;&gt;"",CR$20,""),
IF(AND(teacher_type="R",career_stage="HP"),
    IF(INDEX(RHPS[[Outstanding]:[Poor]],MATCH($CA41,RHPS[[helper]:[helper]],0),CR$19)&lt;&gt;"",CR$20,""),
IF(AND(teacher_type="TB",career_stage="P"),
    IF(INDEX(TBPS[[Outstanding]:[Poor]],MATCH($CA41,TBPS[[helper]:[helper]],0),CR$19)&lt;&gt;"",CR$20,""),
IF(AND(teacher_type="TB",career_stage="HP"),
    IF(INDEX(TBHPS[[Outstanding]:[Poor]],MATCH($CA41,TBHPS[[helper]:[helper]],0),CR$19)&lt;&gt;"",CR$20,""),
CR$20)))),
CR$20),CR$20)</f>
        <v>4</v>
      </c>
      <c r="CS41" s="359" cm="1">
        <f t="array" ref="CS41">IFERROR(IF($CA41&lt;&gt;"",
IF(AND(teacher_type="R",career_stage="P"),
    IF(INDEX(RPS[[Outstanding]:[Poor]],MATCH($CA41,RPS[[helper]:[helper]],0),CS$19)&lt;&gt;"",CS$20,""),
IF(AND(teacher_type="R",career_stage="HP"),
    IF(INDEX(RHPS[[Outstanding]:[Poor]],MATCH($CA41,RHPS[[helper]:[helper]],0),CS$19)&lt;&gt;"",CS$20,""),
IF(AND(teacher_type="TB",career_stage="P"),
    IF(INDEX(TBPS[[Outstanding]:[Poor]],MATCH($CA41,TBPS[[helper]:[helper]],0),CS$19)&lt;&gt;"",CS$20,""),
IF(AND(teacher_type="TB",career_stage="HP"),
    IF(INDEX(TBHPS[[Outstanding]:[Poor]],MATCH($CA41,TBHPS[[helper]:[helper]],0),CS$19)&lt;&gt;"",CS$20,""),
CS$20)))),
CS$20),CS$20)</f>
        <v>3</v>
      </c>
      <c r="CT41" s="359" cm="1">
        <f t="array" ref="CT41">IFERROR(IF($CA41&lt;&gt;"",
IF(AND(teacher_type="R",career_stage="P"),
    IF(INDEX(RPS[[Outstanding]:[Poor]],MATCH($CA41,RPS[[helper]:[helper]],0),CT$19)&lt;&gt;"",CT$20,""),
IF(AND(teacher_type="R",career_stage="HP"),
    IF(INDEX(RHPS[[Outstanding]:[Poor]],MATCH($CA41,RHPS[[helper]:[helper]],0),CT$19)&lt;&gt;"",CT$20,""),
IF(AND(teacher_type="TB",career_stage="P"),
    IF(INDEX(TBPS[[Outstanding]:[Poor]],MATCH($CA41,TBPS[[helper]:[helper]],0),CT$19)&lt;&gt;"",CT$20,""),
IF(AND(teacher_type="TB",career_stage="HP"),
    IF(INDEX(TBHPS[[Outstanding]:[Poor]],MATCH($CA41,TBHPS[[helper]:[helper]],0),CT$19)&lt;&gt;"",CT$20,""),
CT$20)))),
CT$20),CT$20)</f>
        <v>2</v>
      </c>
      <c r="CU41" s="359" cm="1">
        <f t="array" ref="CU41">IFERROR(IF($CA41&lt;&gt;"",
IF(AND(teacher_type="R",career_stage="P"),
    IF(INDEX(RPS[[Outstanding]:[Poor]],MATCH($CA41,RPS[[helper]:[helper]],0),CU$19)&lt;&gt;"",CU$20,""),
IF(AND(teacher_type="R",career_stage="HP"),
    IF(INDEX(RHPS[[Outstanding]:[Poor]],MATCH($CA41,RHPS[[helper]:[helper]],0),CU$19)&lt;&gt;"",CU$20,""),
IF(AND(teacher_type="TB",career_stage="P"),
    IF(INDEX(TBPS[[Outstanding]:[Poor]],MATCH($CA41,TBPS[[helper]:[helper]],0),CU$19)&lt;&gt;"",CU$20,""),
IF(AND(teacher_type="TB",career_stage="HP"),
    IF(INDEX(TBHPS[[Outstanding]:[Poor]],MATCH($CA41,TBHPS[[helper]:[helper]],0),CU$19)&lt;&gt;"",CU$20,""),
CU$20)))),
CU$20),CU$20)</f>
        <v>1</v>
      </c>
      <c r="CV41" s="360">
        <f t="shared" si="29"/>
        <v>5</v>
      </c>
      <c r="CY41" s="443" t="b" cm="1">
        <f t="array" ref="CY41">IFERROR(AND(S$12,IF(AND($G41,$D41="COI"),
IF(AND(teacher_type="R",career_stage="P"),VLOOKUP($BF41,RPI[],COLUMN(RPI[cot1]),FALSE),
IF(AND(teacher_type="R",career_stage="HP"),VLOOKUP($BF41,RHPI[],COLUMN(RHPI[cot1]),FALSE),
IF(AND(teacher_type="TB",career_stage="P"),VLOOKUP($BF41,TBPI[],COLUMN(TBPI[cot1]),FALSE),
IF(AND(teacher_type="TB",career_stage="HP"),VLOOKUP($BF41,TBHPI[],COLUMN(TBHPI[cot1]),FALSE),FALSE)))),
FALSE)),FALSE)</f>
        <v>0</v>
      </c>
      <c r="CZ41" s="443" t="b">
        <f t="shared" si="30"/>
        <v>0</v>
      </c>
      <c r="DA41" s="443" t="b" cm="1">
        <f t="array" ref="DA41">IFERROR(AND(U$12,IF(AND($G41,$D41="COI"),
IF(AND(teacher_type="R",career_stage="P"),VLOOKUP($BF41,RPI[],COLUMN(RPI[cot2]),FALSE),
IF(AND(teacher_type="R",career_stage="HP"),VLOOKUP($BF41,RHPI[],COLUMN(RHPI[cot2]),FALSE),
IF(AND(teacher_type="TB",career_stage="P"),VLOOKUP($BF41,TBPI[],COLUMN(TBPI[cot2]),FALSE),
IF(AND(teacher_type="TB",career_stage="HP"),VLOOKUP($BF41,TBHPI[],COLUMN(TBHPI[cot2]),FALSE),FALSE)))),
FALSE)),FALSE)</f>
        <v>0</v>
      </c>
      <c r="DB41" s="443" t="b">
        <f t="shared" si="31"/>
        <v>0</v>
      </c>
      <c r="DC41" s="443" t="b" cm="1">
        <f t="array" ref="DC41">IFERROR(AND(W$12,IF(AND($G41,$D41="COI"),
IF(AND(teacher_type="R",career_stage="P"),VLOOKUP($BF41,RPI[],COLUMN(RPI[cot3]),FALSE),
IF(AND(teacher_type="R",career_stage="HP"),VLOOKUP($BF41,RHPI[],COLUMN(RHPI[cot3]),FALSE),
IF(AND(teacher_type="TB",career_stage="P"),VLOOKUP($BF41,TBPI[],COLUMN(TBPI[cot3]),FALSE),
IF(AND(teacher_type="TB",career_stage="HP"),VLOOKUP($BF41,TBHPI[],COLUMN(TBHPI[cot3]),FALSE),FALSE)))),
FALSE)),FALSE)</f>
        <v>0</v>
      </c>
      <c r="DD41" s="443" t="b">
        <f t="shared" si="32"/>
        <v>0</v>
      </c>
      <c r="DE41" s="443" t="b" cm="1">
        <f t="array" ref="DE41">IFERROR(AND(Y$12,IF(AND($G41,$D41="COI"),
IF(AND(teacher_type="R",career_stage="P"),VLOOKUP($BF41,RPI[],COLUMN(RPI[cot4]),FALSE),
IF(AND(teacher_type="R",career_stage="HP"),VLOOKUP($BF41,RHPI[],COLUMN(RHPI[cot4]),FALSE),
IF(AND(teacher_type="TB",career_stage="P"),VLOOKUP($BF41,TBPI[],COLUMN(TBPI[cot4]),FALSE),
IF(AND(teacher_type="TB",career_stage="HP"),VLOOKUP($BF41,TBHPI[],COLUMN(TBHPI[cot4]),FALSE),FALSE)))),
FALSE)),FALSE)</f>
        <v>0</v>
      </c>
      <c r="DF41" s="443" t="b">
        <f t="shared" si="33"/>
        <v>0</v>
      </c>
      <c r="DG41" s="150">
        <f t="shared" si="34"/>
        <v>0</v>
      </c>
      <c r="DH41" s="154">
        <f>IF(AND(CY41,LOWER(TRIM(S$20))=LOWER(TRIM(data2!$U$35))),1,0) +
IF(AND(DA41,LOWER(TRIM(U$20))=LOWER(TRIM(data2!$U$35))),1,0) +
IF(AND(DC41,LOWER(TRIM(W$20))=LOWER(TRIM(data2!$U$35))),1,0) +
IF(AND(DE41,LOWER(TRIM(Y$20))=LOWER(TRIM(data2!$U$35))),1,0)</f>
        <v>0</v>
      </c>
      <c r="DJ41" s="154">
        <f t="shared" si="35"/>
        <v>0</v>
      </c>
    </row>
    <row r="42" spans="1:114" s="154" customFormat="1" ht="24.95" hidden="1" customHeight="1" x14ac:dyDescent="0.25">
      <c r="A42" s="156"/>
      <c r="B42" s="154">
        <v>21</v>
      </c>
      <c r="C42" s="150" t="str">
        <f>IFERROR(IF(AND(teacher_type="R",career_stage="P"),VLOOKUP(O42,RPI[],COLUMNS(RPI[[Strand]:[admin_selected_coi_ncoi]]),FALSE),IF(AND(teacher_type="R",career_stage="HP"),VLOOKUP(O42,RHPI[],COLUMNS(RHPI[[Strand]:[admin_selected_coi_ncoi]]),FALSE),IF(AND(teacher_type="TB",career_stage="P"),VLOOKUP(O42,TBPI[],COLUMNS(TBPI[[Strand]:[admin_selected_coi_ncoi]]),FALSE),IF(AND(teacher_type="TB",career_stage="HP"),VLOOKUP(O42,TBHPI[],COLUMNS(TBHPI[[Strand]:[admin_selected_coi_ncoi]]),FALSE),"NCOI")))),"NCOI")</f>
        <v>NCOI</v>
      </c>
      <c r="D42" s="150" t="str">
        <f t="shared" si="10"/>
        <v/>
      </c>
      <c r="E42" s="150">
        <f>IFERROR(IF(AND(teacher_type="R",career_stage="P"),VLOOKUP($O42,RPI[[Strand]:[Domain]],COLUMNS(RPI[[Strand]:[Domain]]),FALSE),IF(AND(teacher_type="R",career_stage="HP"),VLOOKUP($O42,RHPI[[Strand]:[Domain]],COLUMNS(RHPI[[Strand]:[Domain]]),FALSE),IF(AND(teacher_type="TB",career_stage="P"),VLOOKUP($O42,TBPI[[Strand]:[Domain]],COLUMNS(TBPI[[Strand]:[Domain]]),FALSE),IF(AND(teacher_type="TB",career_stage="HP"),VLOOKUP($O42,TBHPI[[Strand]:[Domain]],COLUMNS(TBHPI[[Strand]:[Domain]]),FALSE),"")))),"")</f>
        <v>3</v>
      </c>
      <c r="F42" s="155" t="b">
        <f>AND(COUNTIFS($E$22:$E42,E42,$G$22:$G42,TRUE)=1,$G42)</f>
        <v>0</v>
      </c>
      <c r="G42" s="212" t="b">
        <f>IFERROR(IF(AND(teacher_type="R",career_stage="P"),VLOOKUP($O42,RPI[],COLUMNS(RPI[[Strand]:[Selected]]),FALSE),IF(AND(teacher_type="R",career_stage="HP"),VLOOKUP($O42,RHPI[],COLUMNS(RHPI[[Strand]:[Selected]]),FALSE),IF(AND(teacher_type="TB",career_stage="P"),VLOOKUP($O42,TBPI[],COLUMNS(TBPI[[Strand]:[Selected]]),FALSE),IF(AND(teacher_type="TB",career_stage="HP"),VLOOKUP($O42,TBHPI[],COLUMNS(TBHPI[[Strand]:[Selected]]),FALSE),FALSE)))),FALSE)</f>
        <v>0</v>
      </c>
      <c r="H42" s="156" t="b">
        <f>IFERROR(IF(AND(teacher_type="R",career_stage="P"),AND(COUNTIFS(RPS[Strand],$O42,RPS[QET],H$21)&gt;0,$G42),IF(AND(teacher_type="R",career_stage="HP"),AND(COUNTIFS(RHPS[Strand],$O42,RHPS[QET],H$21)&gt;0,$G42),IF(AND(teacher_type="TB",career_stage="P"),AND(COUNTIFS(TBPS[Strand],$O42,TBPS[QET],H$21)&gt;0,$G42),IF(AND(teacher_type="TB",career_stage="HP"),AND(COUNTIFS(TBHPS[Strand],$O42,TBHPS[QET],H$21)&gt;0,$G42),FALSE)))),FALSE)</f>
        <v>0</v>
      </c>
      <c r="I42" s="156" t="b">
        <f t="shared" si="11"/>
        <v>0</v>
      </c>
      <c r="J42" s="156" t="b">
        <f>IFERROR(IF(AND(teacher_type="R",career_stage="P"),AND(COUNTIFS(RPS[Strand],$O42,RPS[QET],J$21)&gt;0,$G42),IF(AND(teacher_type="R",career_stage="HP"),AND(COUNTIFS(RHPS[Strand],$O42,RHPS[QET],J$21)&gt;0,$G42),IF(AND(teacher_type="TB",career_stage="P"),AND(COUNTIFS(TBPS[Strand],$O42,TBPS[QET],J$21)&gt;0,$G42),IF(AND(teacher_type="TB",career_stage="HP"),AND(COUNTIFS(TBHPS[Strand],$O42,TBHPS[QET],J$21)&gt;0,$G42),FALSE)))),FALSE)</f>
        <v>0</v>
      </c>
      <c r="K42" s="156" t="b">
        <f>IFERROR(IF(AND(teacher_type="R",career_stage="P"),AND(COUNTIFS(RPS[Strand],$O42,RPS[QET],K$21)&gt;0,$G42),IF(AND(teacher_type="R",career_stage="HP"),AND(COUNTIFS(RHPS[Strand],$O42,RHPS[QET],K$21)&gt;0,$G42),IF(AND(teacher_type="TB",career_stage="P"),AND(COUNTIFS(TBPS[Strand],$O42,TBPS[QET],K$21)&gt;0,$G42),IF(AND(teacher_type="TB",career_stage="HP"),AND(COUNTIFS(TBHPS[Strand],$O42,TBHPS[QET],K$21)&gt;0,$G42),FALSE)))),FALSE)</f>
        <v>0</v>
      </c>
      <c r="L42" s="156" t="b">
        <f t="shared" si="12"/>
        <v>0</v>
      </c>
      <c r="M42" s="165" t="str">
        <f t="shared" si="13"/>
        <v/>
      </c>
      <c r="N42" s="48" t="str">
        <f>IF($G42,COUNTIF($G$22:$G42,TRUE),"")</f>
        <v/>
      </c>
      <c r="O42" s="48" t="str" cm="1">
        <f t="array" ref="O42">IFERROR(IF(AND(teacher_type="R",career_stage="P"),INDEX(RPI[Strand],$B42),IF(AND(teacher_type="R",career_stage="HP"),INDEX(RHPI[Strand],$B42),IF(AND(teacher_type="TB",career_stage="P"),INDEX(TBPI[Strand],$B42),IF(AND(teacher_type="TB",career_stage="HP"),INDEX(TBHPI[Strand],$B42),"")))),"")</f>
        <v>4.3.2</v>
      </c>
      <c r="P42" s="166" t="str">
        <f>$C$42</f>
        <v>NCOI</v>
      </c>
      <c r="Q42" s="167">
        <f>IFERROR(IF(AND(teacher_type="R",career_stage="P"),VLOOKUP(O42,RPI[],COLUMNS(RPI[[Strand]:[Weight]]),FALSE), IF(AND(teacher_type="R",career_stage="HP"),VLOOKUP(O42,RHPI[],COLUMNS(RHPI[[Strand]:[Weight]]),FALSE), IF(AND(teacher_type="TB",career_stage="P"),VLOOKUP(O42,TBPI[],COLUMNS(TBPI[[Strand]:[Weight]]),FALSE), IF(AND(teacher_type="TB",career_stage="HP"),VLOOKUP(O42,TBHPI[],COLUMNS(TBHPI[[Strand]:[Weight]]),FALSE),0)))),0)</f>
        <v>0</v>
      </c>
      <c r="R42" s="168">
        <f>COUNTIFS($D$22:D42,"COI",$G$22:G42,TRUE)</f>
        <v>8</v>
      </c>
      <c r="S42" s="483"/>
      <c r="T42" s="169" t="str">
        <f>IFERROR(IF(LOWER(TRIM(S$20))=LOWER(TRIM(data2!$U$35)),"",IF(AND($G42,$D42="COI",S$12,CZ42),IF(OR(LOWER(TRIM(S$20))=LOWER(TRIM(data2!$U$36)),ISBLANK(S42)),1,IF(career_stage="P",VLOOKUP(S42,P_COT_vlookup,2,FALSE),IF(career_stage="HP",VLOOKUP(S42,HP_COT_vlookup,2,FALSE),""))),"")),"")</f>
        <v/>
      </c>
      <c r="U42" s="489"/>
      <c r="V42" s="170" t="str">
        <f>IFERROR(IF(LOWER(TRIM(U$20))=LOWER(TRIM(data2!$U$35)),"",IF(AND($G42,$D42="COI",U$12,DB42),IF(OR(LOWER(TRIM(U$20))=LOWER(TRIM(data2!$U$36)),ISBLANK(U42)),1,IF(career_stage="P",VLOOKUP(U42,P_COT_vlookup,2,FALSE),IF(career_stage="HP",VLOOKUP(U42,HP_COT_vlookup,2,FALSE),""))),"")),"")</f>
        <v/>
      </c>
      <c r="W42" s="483"/>
      <c r="X42" s="169" t="str">
        <f>IFERROR(IF(LOWER(TRIM(W$20))=LOWER(TRIM(data2!$U$35)),"",IF(AND($G42,$D42="COI",W$12,DD42),IF(OR(LOWER(TRIM(W$20))=LOWER(TRIM(data2!$U$36)),ISBLANK(W42)),1,IF(career_stage="P",VLOOKUP(W42,P_COT_vlookup,2,FALSE),IF(career_stage="HP",VLOOKUP(W42,HP_COT_vlookup,2,FALSE),""))),"")),"")</f>
        <v/>
      </c>
      <c r="Y42" s="489"/>
      <c r="Z42" s="170" t="str">
        <f>IFERROR(IF(LOWER(TRIM(Y$20))=LOWER(TRIM(data2!$U$35)),"",IF(AND($G42,$D42="COI",Y$12,DF42),IF(OR(LOWER(TRIM(Y$20))=LOWER(TRIM(data2!$U$36)),ISBLANK(Y42)),1,IF(career_stage="P",VLOOKUP(Y42,P_COT_vlookup,2,FALSE),IF(career_stage="HP",VLOOKUP(Y42,HP_COT_vlookup,2,FALSE),""))),"")),"")</f>
        <v/>
      </c>
      <c r="AA42" s="171">
        <f t="shared" si="14"/>
        <v>0</v>
      </c>
      <c r="AB42" s="471"/>
      <c r="AC42" s="473"/>
      <c r="AD42" s="473"/>
      <c r="AE42" s="49">
        <f t="shared" si="2"/>
        <v>0</v>
      </c>
      <c r="AF42" s="49">
        <f t="shared" si="3"/>
        <v>0</v>
      </c>
      <c r="AG42" s="172" t="str">
        <f t="shared" si="4"/>
        <v>Poor</v>
      </c>
      <c r="AI42" s="196" t="b">
        <f t="shared" si="5"/>
        <v>1</v>
      </c>
      <c r="AJ42" s="154" t="b">
        <v>1</v>
      </c>
      <c r="AK42" s="154" t="b">
        <v>1</v>
      </c>
      <c r="AL42" s="196" t="b">
        <f t="shared" si="15"/>
        <v>1</v>
      </c>
      <c r="AM42" s="154" t="b">
        <v>1</v>
      </c>
      <c r="AN42" s="196" t="b">
        <f t="shared" si="15"/>
        <v>1</v>
      </c>
      <c r="AO42" s="154" t="b">
        <v>1</v>
      </c>
      <c r="AP42" s="196" t="b">
        <f t="shared" si="15"/>
        <v>1</v>
      </c>
      <c r="AQ42" s="154" t="b">
        <v>1</v>
      </c>
      <c r="AR42" s="196" t="b">
        <f t="shared" si="15"/>
        <v>1</v>
      </c>
      <c r="AS42" s="154" t="b">
        <v>1</v>
      </c>
      <c r="AT42" s="154" t="b">
        <v>1</v>
      </c>
      <c r="AU42" s="196" t="b">
        <f t="shared" si="6"/>
        <v>1</v>
      </c>
      <c r="AV42" s="196" t="b">
        <f t="shared" si="7"/>
        <v>1</v>
      </c>
      <c r="AW42" s="196" t="b">
        <f t="shared" si="8"/>
        <v>1</v>
      </c>
      <c r="AX42" s="47" t="b">
        <v>1</v>
      </c>
      <c r="AY42" s="47" t="b">
        <v>1</v>
      </c>
      <c r="AZ42" s="47" t="b">
        <v>1</v>
      </c>
      <c r="BF42" s="154" t="str">
        <f t="shared" si="9"/>
        <v>4.3.2</v>
      </c>
      <c r="BG42" s="196" t="b" cm="1">
        <f t="array" ref="BG42">IFERROR(IF(OR(LOWER(TRIM(S$20))=LOWER(TRIM(data2!$U$35)),LOWER(TRIM(S$20))=LOWER(TRIM(data2!$U$36))),FALSE,AND(S$12,IF(AND($G42,$D42="COI"),
IF(AND(teacher_type="R",career_stage="P"),VLOOKUP($BF42,RPI[],COLUMN(RPI[cot1]),FALSE),
IF(AND(teacher_type="R",career_stage="HP"),VLOOKUP($BF42,RHPI[],COLUMN(RHPI[cot1]),FALSE),
IF(AND(teacher_type="TB",career_stage="P"),VLOOKUP($BF42,TBPI[],COLUMN(TBPI[cot1]),FALSE),
IF(AND(teacher_type="TB",career_stage="HP"),VLOOKUP($BF42,TBHPI[],COLUMN(TBHPI[cot1]),FALSE),FALSE)))),
FALSE))),FALSE)</f>
        <v>0</v>
      </c>
      <c r="BH42" s="154" t="b">
        <v>0</v>
      </c>
      <c r="BI42" s="196" t="b" cm="1">
        <f t="array" ref="BI42">IFERROR(IF(OR(LOWER(TRIM(U$20))=LOWER(TRIM(data2!$U$35)),LOWER(TRIM(U$20))=LOWER(TRIM(data2!$U$36))),FALSE,AND(U$12,IF(AND($G42,$D42="COI"),
IF(AND(teacher_type="R",career_stage="P"),VLOOKUP($BF42,RPI[],COLUMN(RPI[cot2]),FALSE),
IF(AND(teacher_type="R",career_stage="HP"),VLOOKUP($BF42,RHPI[],COLUMN(RHPI[cot2]),FALSE),
IF(AND(teacher_type="TB",career_stage="P"),VLOOKUP($BF42,TBPI[],COLUMN(TBPI[cot2]),FALSE),
IF(AND(teacher_type="TB",career_stage="HP"),VLOOKUP($BF42,TBHPI[],COLUMN(TBHPI[cot2]),FALSE),FALSE)))),
FALSE))),FALSE)</f>
        <v>0</v>
      </c>
      <c r="BJ42" s="154" t="b">
        <v>0</v>
      </c>
      <c r="BK42" s="196" t="b" cm="1">
        <f t="array" ref="BK42">IFERROR(IF(OR(LOWER(TRIM(W$20))=LOWER(TRIM(data2!$U$35)),LOWER(TRIM(W$20))=LOWER(TRIM(data2!$U$36))),FALSE,AND(W$12,IF(AND($G42,$D42="COI"),
IF(AND(teacher_type="R",career_stage="P"),VLOOKUP($BF42,RPI[],COLUMN(RPI[cot3]),FALSE),
IF(AND(teacher_type="R",career_stage="HP"),VLOOKUP($BF42,RHPI[],COLUMN(RHPI[cot3]),FALSE),
IF(AND(teacher_type="TB",career_stage="P"),VLOOKUP($BF42,TBPI[],COLUMN(TBPI[cot3]),FALSE),
IF(AND(teacher_type="TB",career_stage="HP"),VLOOKUP($BF42,TBHPI[],COLUMN(TBHPI[cot3]),FALSE),FALSE)))),
FALSE))),FALSE)</f>
        <v>0</v>
      </c>
      <c r="BL42" s="154" t="b">
        <v>0</v>
      </c>
      <c r="BM42" s="196" t="b" cm="1">
        <f t="array" ref="BM42">IFERROR(IF(OR(LOWER(TRIM(Y$20))=LOWER(TRIM(data2!$U$35)),LOWER(TRIM(Y$20))=LOWER(TRIM(data2!$U$36))),FALSE,AND(Y$12,IF(AND($G42,$D42="COI"),
IF(AND(teacher_type="R",career_stage="P"),VLOOKUP($BF42,RPI[],COLUMN(RPI[cot4]),FALSE),
IF(AND(teacher_type="R",career_stage="HP"),VLOOKUP($BF42,RHPI[],COLUMN(RHPI[cot4]),FALSE),
IF(AND(teacher_type="TB",career_stage="P"),VLOOKUP($BF42,TBPI[],COLUMN(TBPI[cot4]),FALSE),
IF(AND(teacher_type="TB",career_stage="HP"),VLOOKUP($BF42,TBHPI[],COLUMN(TBHPI[cot4]),FALSE),FALSE)))),
FALSE))),FALSE)</f>
        <v>0</v>
      </c>
      <c r="BN42" s="154" t="b">
        <v>0</v>
      </c>
      <c r="BO42" s="150">
        <f t="shared" si="16"/>
        <v>0</v>
      </c>
      <c r="BP42" s="196" t="b">
        <f t="shared" si="17"/>
        <v>0</v>
      </c>
      <c r="BQ42" s="196" t="b">
        <f>IFERROR(IF(OR(NOT(CZ42),LOWER(TRIM(S$20))=LOWER(TRIM(data2!$U$35))),TRUE,IF(AND(CZ42,LOWER(TRIM(S$20))=LOWER(TRIM(data2!$U$36))),FALSE)),FALSE)</f>
        <v>1</v>
      </c>
      <c r="BR42" s="196" t="b">
        <f t="shared" si="18"/>
        <v>0</v>
      </c>
      <c r="BS42" s="196" t="b">
        <f>IFERROR(IF(OR(NOT(DB42),LOWER(TRIM(U$20))=LOWER(TRIM(data2!$U$35))),TRUE,IF(AND(DB42,LOWER(TRIM(U$20))=LOWER(TRIM(data2!$U$36))),FALSE)),FALSE)</f>
        <v>1</v>
      </c>
      <c r="BT42" s="196" t="b">
        <f t="shared" si="19"/>
        <v>0</v>
      </c>
      <c r="BU42" s="196" t="b">
        <f>IFERROR(IF(OR(NOT(DD42),LOWER(TRIM(W$20))=LOWER(TRIM(data2!$U$35))),TRUE,IF(AND(DD42,LOWER(TRIM(W$20))=LOWER(TRIM(data2!$U$36))),FALSE)),FALSE)</f>
        <v>1</v>
      </c>
      <c r="BV42" s="196" t="b">
        <f t="shared" si="20"/>
        <v>0</v>
      </c>
      <c r="BW42" s="196" t="b">
        <f>IFERROR(IF(OR(NOT(DF42),LOWER(TRIM(Y$20))=LOWER(TRIM(data2!$U$35))),TRUE,IF(AND(DF42,LOWER(TRIM(Y$20))=LOWER(TRIM(data2!$U$36))),FALSE)),FALSE)</f>
        <v>1</v>
      </c>
      <c r="BY42" s="154" t="str">
        <f t="shared" si="21"/>
        <v/>
      </c>
      <c r="BZ42" s="154" t="str">
        <f t="shared" si="22"/>
        <v/>
      </c>
      <c r="CA42" s="154" t="str">
        <f t="shared" si="23"/>
        <v/>
      </c>
      <c r="CB42" s="154" t="str">
        <f t="shared" si="24"/>
        <v>CE42:CI42</v>
      </c>
      <c r="CC42" s="154" t="str">
        <f t="shared" si="25"/>
        <v>CK42:CO42</v>
      </c>
      <c r="CD42" s="154" t="str">
        <f t="shared" si="26"/>
        <v>CQ42:CU42</v>
      </c>
      <c r="CE42" s="359" cm="1">
        <f t="array" ref="CE42">IFERROR(IF($BY42&lt;&gt;"",
IF(AND(teacher_type="R",career_stage="P"),
    IF(INDEX(RPS[[Outstanding]:[Poor]],MATCH($BY42,RPS[[helper]:[helper]],0),CE$19)&lt;&gt;"",CE$20,""),
IF(AND(teacher_type="R",career_stage="HP"),
    IF(INDEX(RHPS[[Outstanding]:[Poor]],MATCH($BY42,RHPS[[helper]:[helper]],0),CE$19)&lt;&gt;"",CE$20,""),
IF(AND(teacher_type="TB",career_stage="P"),
    IF(INDEX(TBPS[[Outstanding]:[Poor]],MATCH($BY42,TBPS[[helper]:[helper]],0),CE$19)&lt;&gt;"",CE$20,""),
IF(AND(teacher_type="TB",career_stage="HP"),
    IF(INDEX(TBHPS[[Outstanding]:[Poor]],MATCH($BY42,TBHPS[[helper]:[helper]],0),CE$19)&lt;&gt;"",CE$20,""),
CE$20)))),
CE$20),CE$20)</f>
        <v>5</v>
      </c>
      <c r="CF42" s="359" cm="1">
        <f t="array" ref="CF42">IFERROR(IF($BY42&lt;&gt;"",
IF(AND(teacher_type="R",career_stage="P"),
    IF(INDEX(RPS[[Outstanding]:[Poor]],MATCH($BY42,RPS[[helper]:[helper]],0),CF$19)&lt;&gt;"",CF$20,""),
IF(AND(teacher_type="R",career_stage="HP"),
    IF(INDEX(RHPS[[Outstanding]:[Poor]],MATCH($BY42,RHPS[[helper]:[helper]],0),CF$19)&lt;&gt;"",CF$20,""),
IF(AND(teacher_type="TB",career_stage="P"),
    IF(INDEX(TBPS[[Outstanding]:[Poor]],MATCH($BY42,TBPS[[helper]:[helper]],0),CF$19)&lt;&gt;"",CF$20,""),
IF(AND(teacher_type="TB",career_stage="HP"),
    IF(INDEX(TBHPS[[Outstanding]:[Poor]],MATCH($BY42,TBHPS[[helper]:[helper]],0),CF$19)&lt;&gt;"",CF$20,""),
CF$20)))),
CF$20),CF$20)</f>
        <v>4</v>
      </c>
      <c r="CG42" s="359" cm="1">
        <f t="array" ref="CG42">IFERROR(IF($BY42&lt;&gt;"",
IF(AND(teacher_type="R",career_stage="P"),
    IF(INDEX(RPS[[Outstanding]:[Poor]],MATCH($BY42,RPS[[helper]:[helper]],0),CG$19)&lt;&gt;"",CG$20,""),
IF(AND(teacher_type="R",career_stage="HP"),
    IF(INDEX(RHPS[[Outstanding]:[Poor]],MATCH($BY42,RHPS[[helper]:[helper]],0),CG$19)&lt;&gt;"",CG$20,""),
IF(AND(teacher_type="TB",career_stage="P"),
    IF(INDEX(TBPS[[Outstanding]:[Poor]],MATCH($BY42,TBPS[[helper]:[helper]],0),CG$19)&lt;&gt;"",CG$20,""),
IF(AND(teacher_type="TB",career_stage="HP"),
    IF(INDEX(TBHPS[[Outstanding]:[Poor]],MATCH($BY42,TBHPS[[helper]:[helper]],0),CG$19)&lt;&gt;"",CG$20,""),
CG$20)))),
CG$20),CG$20)</f>
        <v>3</v>
      </c>
      <c r="CH42" s="359" cm="1">
        <f t="array" ref="CH42">IFERROR(IF($BY42&lt;&gt;"",
IF(AND(teacher_type="R",career_stage="P"),
    IF(INDEX(RPS[[Outstanding]:[Poor]],MATCH($BY42,RPS[[helper]:[helper]],0),CH$19)&lt;&gt;"",CH$20,""),
IF(AND(teacher_type="R",career_stage="HP"),
    IF(INDEX(RHPS[[Outstanding]:[Poor]],MATCH($BY42,RHPS[[helper]:[helper]],0),CH$19)&lt;&gt;"",CH$20,""),
IF(AND(teacher_type="TB",career_stage="P"),
    IF(INDEX(TBPS[[Outstanding]:[Poor]],MATCH($BY42,TBPS[[helper]:[helper]],0),CH$19)&lt;&gt;"",CH$20,""),
IF(AND(teacher_type="TB",career_stage="HP"),
    IF(INDEX(TBHPS[[Outstanding]:[Poor]],MATCH($BY42,TBHPS[[helper]:[helper]],0),CH$19)&lt;&gt;"",CH$20,""),
CH$20)))),
CH$20),CH$20)</f>
        <v>2</v>
      </c>
      <c r="CI42" s="359" cm="1">
        <f t="array" ref="CI42">IFERROR(IF($BY42&lt;&gt;"",
IF(AND(teacher_type="R",career_stage="P"),
    IF(INDEX(RPS[[Outstanding]:[Poor]],MATCH($BY42,RPS[[helper]:[helper]],0),CI$19)&lt;&gt;"",CI$20,""),
IF(AND(teacher_type="R",career_stage="HP"),
    IF(INDEX(RHPS[[Outstanding]:[Poor]],MATCH($BY42,RHPS[[helper]:[helper]],0),CI$19)&lt;&gt;"",CI$20,""),
IF(AND(teacher_type="TB",career_stage="P"),
    IF(INDEX(TBPS[[Outstanding]:[Poor]],MATCH($BY42,TBPS[[helper]:[helper]],0),CI$19)&lt;&gt;"",CI$20,""),
IF(AND(teacher_type="TB",career_stage="HP"),
    IF(INDEX(TBHPS[[Outstanding]:[Poor]],MATCH($BY42,TBHPS[[helper]:[helper]],0),CI$19)&lt;&gt;"",CI$20,""),
CI$20)))),
CI$20),CI$20)</f>
        <v>1</v>
      </c>
      <c r="CJ42" s="360">
        <f t="shared" si="27"/>
        <v>5</v>
      </c>
      <c r="CK42" s="359" cm="1">
        <f t="array" ref="CK42">IFERROR(IF($BZ42&lt;&gt;"",
IF(AND(teacher_type="R",career_stage="P"),
    IF(INDEX(RPS[[Outstanding]:[Poor]],MATCH($BZ42,RPS[[helper]:[helper]],0),CK$19)&lt;&gt;"",CK$20,""),
IF(AND(teacher_type="R",career_stage="HP"),
    IF(INDEX(RHPS[[Outstanding]:[Poor]],MATCH($BZ42,RHPS[[helper]:[helper]],0),CK$19)&lt;&gt;"",CK$20,""),
IF(AND(teacher_type="TB",career_stage="P"),
    IF(INDEX(TBPS[[Outstanding]:[Poor]],MATCH($BZ42,TBPS[[helper]:[helper]],0),CK$19)&lt;&gt;"",CK$20,""),
IF(AND(teacher_type="TB",career_stage="HP"),
    IF(INDEX(TBHPS[[Outstanding]:[Poor]],MATCH($BZ42,TBHPS[[helper]:[helper]],0),CK$19)&lt;&gt;"",CK$20,""),
CK$20)))),
CK$20),CK$20)</f>
        <v>5</v>
      </c>
      <c r="CL42" s="359" cm="1">
        <f t="array" ref="CL42">IFERROR(IF($BZ42&lt;&gt;"",
IF(AND(teacher_type="R",career_stage="P"),
    IF(INDEX(RPS[[Outstanding]:[Poor]],MATCH($BZ42,RPS[[helper]:[helper]],0),CL$19)&lt;&gt;"",CL$20,""),
IF(AND(teacher_type="R",career_stage="HP"),
    IF(INDEX(RHPS[[Outstanding]:[Poor]],MATCH($BZ42,RHPS[[helper]:[helper]],0),CL$19)&lt;&gt;"",CL$20,""),
IF(AND(teacher_type="TB",career_stage="P"),
    IF(INDEX(TBPS[[Outstanding]:[Poor]],MATCH($BZ42,TBPS[[helper]:[helper]],0),CL$19)&lt;&gt;"",CL$20,""),
IF(AND(teacher_type="TB",career_stage="HP"),
    IF(INDEX(TBHPS[[Outstanding]:[Poor]],MATCH($BZ42,TBHPS[[helper]:[helper]],0),CL$19)&lt;&gt;"",CL$20,""),
CL$20)))),
CL$20),CL$20)</f>
        <v>4</v>
      </c>
      <c r="CM42" s="359" cm="1">
        <f t="array" ref="CM42">IFERROR(IF($BZ42&lt;&gt;"",
IF(AND(teacher_type="R",career_stage="P"),
    IF(INDEX(RPS[[Outstanding]:[Poor]],MATCH($BZ42,RPS[[helper]:[helper]],0),CM$19)&lt;&gt;"",CM$20,""),
IF(AND(teacher_type="R",career_stage="HP"),
    IF(INDEX(RHPS[[Outstanding]:[Poor]],MATCH($BZ42,RHPS[[helper]:[helper]],0),CM$19)&lt;&gt;"",CM$20,""),
IF(AND(teacher_type="TB",career_stage="P"),
    IF(INDEX(TBPS[[Outstanding]:[Poor]],MATCH($BZ42,TBPS[[helper]:[helper]],0),CM$19)&lt;&gt;"",CM$20,""),
IF(AND(teacher_type="TB",career_stage="HP"),
    IF(INDEX(TBHPS[[Outstanding]:[Poor]],MATCH($BZ42,TBHPS[[helper]:[helper]],0),CM$19)&lt;&gt;"",CM$20,""),
CM$20)))),
CM$20),CM$20)</f>
        <v>3</v>
      </c>
      <c r="CN42" s="359" cm="1">
        <f t="array" ref="CN42">IFERROR(IF($BZ42&lt;&gt;"",
IF(AND(teacher_type="R",career_stage="P"),
    IF(INDEX(RPS[[Outstanding]:[Poor]],MATCH($BZ42,RPS[[helper]:[helper]],0),CN$19)&lt;&gt;"",CN$20,""),
IF(AND(teacher_type="R",career_stage="HP"),
    IF(INDEX(RHPS[[Outstanding]:[Poor]],MATCH($BZ42,RHPS[[helper]:[helper]],0),CN$19)&lt;&gt;"",CN$20,""),
IF(AND(teacher_type="TB",career_stage="P"),
    IF(INDEX(TBPS[[Outstanding]:[Poor]],MATCH($BZ42,TBPS[[helper]:[helper]],0),CN$19)&lt;&gt;"",CN$20,""),
IF(AND(teacher_type="TB",career_stage="HP"),
    IF(INDEX(TBHPS[[Outstanding]:[Poor]],MATCH($BZ42,TBHPS[[helper]:[helper]],0),CN$19)&lt;&gt;"",CN$20,""),
CN$20)))),
CN$20),CN$20)</f>
        <v>2</v>
      </c>
      <c r="CO42" s="359" cm="1">
        <f t="array" ref="CO42">IFERROR(IF($BZ42&lt;&gt;"",
IF(AND(teacher_type="R",career_stage="P"),
    IF(INDEX(RPS[[Outstanding]:[Poor]],MATCH($BZ42,RPS[[helper]:[helper]],0),CO$19)&lt;&gt;"",CO$20,""),
IF(AND(teacher_type="R",career_stage="HP"),
    IF(INDEX(RHPS[[Outstanding]:[Poor]],MATCH($BZ42,RHPS[[helper]:[helper]],0),CO$19)&lt;&gt;"",CO$20,""),
IF(AND(teacher_type="TB",career_stage="P"),
    IF(INDEX(TBPS[[Outstanding]:[Poor]],MATCH($BZ42,TBPS[[helper]:[helper]],0),CO$19)&lt;&gt;"",CO$20,""),
IF(AND(teacher_type="TB",career_stage="HP"),
    IF(INDEX(TBHPS[[Outstanding]:[Poor]],MATCH($BZ42,TBHPS[[helper]:[helper]],0),CO$19)&lt;&gt;"",CO$20,""),
CO$20)))),
CO$20),CO$20)</f>
        <v>1</v>
      </c>
      <c r="CP42" s="360">
        <f t="shared" si="28"/>
        <v>5</v>
      </c>
      <c r="CQ42" s="359" cm="1">
        <f t="array" ref="CQ42">IFERROR(IF($CA42&lt;&gt;"",
IF(AND(teacher_type="R",career_stage="P"),
    IF(INDEX(RPS[[Outstanding]:[Poor]],MATCH($CA42,RPS[[helper]:[helper]],0),CQ$19)&lt;&gt;"",CQ$20,""),
IF(AND(teacher_type="R",career_stage="HP"),
    IF(INDEX(RHPS[[Outstanding]:[Poor]],MATCH($CA42,RHPS[[helper]:[helper]],0),CQ$19)&lt;&gt;"",CQ$20,""),
IF(AND(teacher_type="TB",career_stage="P"),
    IF(INDEX(TBPS[[Outstanding]:[Poor]],MATCH($CA42,TBPS[[helper]:[helper]],0),CQ$19)&lt;&gt;"",CQ$20,""),
IF(AND(teacher_type="TB",career_stage="HP"),
    IF(INDEX(TBHPS[[Outstanding]:[Poor]],MATCH($CA42,TBHPS[[helper]:[helper]],0),CQ$19)&lt;&gt;"",CQ$20,""),
CQ$20)))),
CQ$20),CQ$20)</f>
        <v>5</v>
      </c>
      <c r="CR42" s="359" cm="1">
        <f t="array" ref="CR42">IFERROR(IF($CA42&lt;&gt;"",
IF(AND(teacher_type="R",career_stage="P"),
    IF(INDEX(RPS[[Outstanding]:[Poor]],MATCH($CA42,RPS[[helper]:[helper]],0),CR$19)&lt;&gt;"",CR$20,""),
IF(AND(teacher_type="R",career_stage="HP"),
    IF(INDEX(RHPS[[Outstanding]:[Poor]],MATCH($CA42,RHPS[[helper]:[helper]],0),CR$19)&lt;&gt;"",CR$20,""),
IF(AND(teacher_type="TB",career_stage="P"),
    IF(INDEX(TBPS[[Outstanding]:[Poor]],MATCH($CA42,TBPS[[helper]:[helper]],0),CR$19)&lt;&gt;"",CR$20,""),
IF(AND(teacher_type="TB",career_stage="HP"),
    IF(INDEX(TBHPS[[Outstanding]:[Poor]],MATCH($CA42,TBHPS[[helper]:[helper]],0),CR$19)&lt;&gt;"",CR$20,""),
CR$20)))),
CR$20),CR$20)</f>
        <v>4</v>
      </c>
      <c r="CS42" s="359" cm="1">
        <f t="array" ref="CS42">IFERROR(IF($CA42&lt;&gt;"",
IF(AND(teacher_type="R",career_stage="P"),
    IF(INDEX(RPS[[Outstanding]:[Poor]],MATCH($CA42,RPS[[helper]:[helper]],0),CS$19)&lt;&gt;"",CS$20,""),
IF(AND(teacher_type="R",career_stage="HP"),
    IF(INDEX(RHPS[[Outstanding]:[Poor]],MATCH($CA42,RHPS[[helper]:[helper]],0),CS$19)&lt;&gt;"",CS$20,""),
IF(AND(teacher_type="TB",career_stage="P"),
    IF(INDEX(TBPS[[Outstanding]:[Poor]],MATCH($CA42,TBPS[[helper]:[helper]],0),CS$19)&lt;&gt;"",CS$20,""),
IF(AND(teacher_type="TB",career_stage="HP"),
    IF(INDEX(TBHPS[[Outstanding]:[Poor]],MATCH($CA42,TBHPS[[helper]:[helper]],0),CS$19)&lt;&gt;"",CS$20,""),
CS$20)))),
CS$20),CS$20)</f>
        <v>3</v>
      </c>
      <c r="CT42" s="359" cm="1">
        <f t="array" ref="CT42">IFERROR(IF($CA42&lt;&gt;"",
IF(AND(teacher_type="R",career_stage="P"),
    IF(INDEX(RPS[[Outstanding]:[Poor]],MATCH($CA42,RPS[[helper]:[helper]],0),CT$19)&lt;&gt;"",CT$20,""),
IF(AND(teacher_type="R",career_stage="HP"),
    IF(INDEX(RHPS[[Outstanding]:[Poor]],MATCH($CA42,RHPS[[helper]:[helper]],0),CT$19)&lt;&gt;"",CT$20,""),
IF(AND(teacher_type="TB",career_stage="P"),
    IF(INDEX(TBPS[[Outstanding]:[Poor]],MATCH($CA42,TBPS[[helper]:[helper]],0),CT$19)&lt;&gt;"",CT$20,""),
IF(AND(teacher_type="TB",career_stage="HP"),
    IF(INDEX(TBHPS[[Outstanding]:[Poor]],MATCH($CA42,TBHPS[[helper]:[helper]],0),CT$19)&lt;&gt;"",CT$20,""),
CT$20)))),
CT$20),CT$20)</f>
        <v>2</v>
      </c>
      <c r="CU42" s="359" cm="1">
        <f t="array" ref="CU42">IFERROR(IF($CA42&lt;&gt;"",
IF(AND(teacher_type="R",career_stage="P"),
    IF(INDEX(RPS[[Outstanding]:[Poor]],MATCH($CA42,RPS[[helper]:[helper]],0),CU$19)&lt;&gt;"",CU$20,""),
IF(AND(teacher_type="R",career_stage="HP"),
    IF(INDEX(RHPS[[Outstanding]:[Poor]],MATCH($CA42,RHPS[[helper]:[helper]],0),CU$19)&lt;&gt;"",CU$20,""),
IF(AND(teacher_type="TB",career_stage="P"),
    IF(INDEX(TBPS[[Outstanding]:[Poor]],MATCH($CA42,TBPS[[helper]:[helper]],0),CU$19)&lt;&gt;"",CU$20,""),
IF(AND(teacher_type="TB",career_stage="HP"),
    IF(INDEX(TBHPS[[Outstanding]:[Poor]],MATCH($CA42,TBHPS[[helper]:[helper]],0),CU$19)&lt;&gt;"",CU$20,""),
CU$20)))),
CU$20),CU$20)</f>
        <v>1</v>
      </c>
      <c r="CV42" s="360">
        <f t="shared" si="29"/>
        <v>5</v>
      </c>
      <c r="CY42" s="443" t="b" cm="1">
        <f t="array" ref="CY42">IFERROR(AND(S$12,IF(AND($G42,$D42="COI"),
IF(AND(teacher_type="R",career_stage="P"),VLOOKUP($BF42,RPI[],COLUMN(RPI[cot1]),FALSE),
IF(AND(teacher_type="R",career_stage="HP"),VLOOKUP($BF42,RHPI[],COLUMN(RHPI[cot1]),FALSE),
IF(AND(teacher_type="TB",career_stage="P"),VLOOKUP($BF42,TBPI[],COLUMN(TBPI[cot1]),FALSE),
IF(AND(teacher_type="TB",career_stage="HP"),VLOOKUP($BF42,TBHPI[],COLUMN(TBHPI[cot1]),FALSE),FALSE)))),
FALSE)),FALSE)</f>
        <v>0</v>
      </c>
      <c r="CZ42" s="443" t="b">
        <f t="shared" si="30"/>
        <v>0</v>
      </c>
      <c r="DA42" s="443" t="b" cm="1">
        <f t="array" ref="DA42">IFERROR(AND(U$12,IF(AND($G42,$D42="COI"),
IF(AND(teacher_type="R",career_stage="P"),VLOOKUP($BF42,RPI[],COLUMN(RPI[cot2]),FALSE),
IF(AND(teacher_type="R",career_stage="HP"),VLOOKUP($BF42,RHPI[],COLUMN(RHPI[cot2]),FALSE),
IF(AND(teacher_type="TB",career_stage="P"),VLOOKUP($BF42,TBPI[],COLUMN(TBPI[cot2]),FALSE),
IF(AND(teacher_type="TB",career_stage="HP"),VLOOKUP($BF42,TBHPI[],COLUMN(TBHPI[cot2]),FALSE),FALSE)))),
FALSE)),FALSE)</f>
        <v>0</v>
      </c>
      <c r="DB42" s="443" t="b">
        <f t="shared" si="31"/>
        <v>0</v>
      </c>
      <c r="DC42" s="443" t="b" cm="1">
        <f t="array" ref="DC42">IFERROR(AND(W$12,IF(AND($G42,$D42="COI"),
IF(AND(teacher_type="R",career_stage="P"),VLOOKUP($BF42,RPI[],COLUMN(RPI[cot3]),FALSE),
IF(AND(teacher_type="R",career_stage="HP"),VLOOKUP($BF42,RHPI[],COLUMN(RHPI[cot3]),FALSE),
IF(AND(teacher_type="TB",career_stage="P"),VLOOKUP($BF42,TBPI[],COLUMN(TBPI[cot3]),FALSE),
IF(AND(teacher_type="TB",career_stage="HP"),VLOOKUP($BF42,TBHPI[],COLUMN(TBHPI[cot3]),FALSE),FALSE)))),
FALSE)),FALSE)</f>
        <v>0</v>
      </c>
      <c r="DD42" s="443" t="b">
        <f t="shared" si="32"/>
        <v>0</v>
      </c>
      <c r="DE42" s="443" t="b" cm="1">
        <f t="array" ref="DE42">IFERROR(AND(Y$12,IF(AND($G42,$D42="COI"),
IF(AND(teacher_type="R",career_stage="P"),VLOOKUP($BF42,RPI[],COLUMN(RPI[cot4]),FALSE),
IF(AND(teacher_type="R",career_stage="HP"),VLOOKUP($BF42,RHPI[],COLUMN(RHPI[cot4]),FALSE),
IF(AND(teacher_type="TB",career_stage="P"),VLOOKUP($BF42,TBPI[],COLUMN(TBPI[cot4]),FALSE),
IF(AND(teacher_type="TB",career_stage="HP"),VLOOKUP($BF42,TBHPI[],COLUMN(TBHPI[cot4]),FALSE),FALSE)))),
FALSE)),FALSE)</f>
        <v>0</v>
      </c>
      <c r="DF42" s="443" t="b">
        <f t="shared" si="33"/>
        <v>0</v>
      </c>
      <c r="DG42" s="150">
        <f t="shared" si="34"/>
        <v>0</v>
      </c>
      <c r="DH42" s="154">
        <f>IF(AND(CY42,LOWER(TRIM(S$20))=LOWER(TRIM(data2!$U$35))),1,0) +
IF(AND(DA42,LOWER(TRIM(U$20))=LOWER(TRIM(data2!$U$35))),1,0) +
IF(AND(DC42,LOWER(TRIM(W$20))=LOWER(TRIM(data2!$U$35))),1,0) +
IF(AND(DE42,LOWER(TRIM(Y$20))=LOWER(TRIM(data2!$U$35))),1,0)</f>
        <v>0</v>
      </c>
      <c r="DJ42" s="154">
        <f t="shared" si="35"/>
        <v>0</v>
      </c>
    </row>
    <row r="43" spans="1:114" s="154" customFormat="1" ht="24.95" hidden="1" customHeight="1" x14ac:dyDescent="0.25">
      <c r="A43" s="156"/>
      <c r="B43" s="154">
        <v>22</v>
      </c>
      <c r="C43" s="150" t="str">
        <f>IFERROR(IF(AND(teacher_type="R",career_stage="P"),VLOOKUP(O43,RPI[],COLUMNS(RPI[[Strand]:[admin_selected_coi_ncoi]]),FALSE),IF(AND(teacher_type="R",career_stage="HP"),VLOOKUP(O43,RHPI[],COLUMNS(RHPI[[Strand]:[admin_selected_coi_ncoi]]),FALSE),IF(AND(teacher_type="TB",career_stage="P"),VLOOKUP(O43,TBPI[],COLUMNS(TBPI[[Strand]:[admin_selected_coi_ncoi]]),FALSE),IF(AND(teacher_type="TB",career_stage="HP"),VLOOKUP(O43,TBHPI[],COLUMNS(TBHPI[[Strand]:[admin_selected_coi_ncoi]]),FALSE),"NCOI")))),"NCOI")</f>
        <v>NCOI</v>
      </c>
      <c r="D43" s="150" t="str">
        <f t="shared" si="10"/>
        <v/>
      </c>
      <c r="E43" s="150">
        <f>IFERROR(IF(AND(teacher_type="R",career_stage="P"),VLOOKUP($O43,RPI[[Strand]:[Domain]],COLUMNS(RPI[[Strand]:[Domain]]),FALSE),IF(AND(teacher_type="R",career_stage="HP"),VLOOKUP($O43,RHPI[[Strand]:[Domain]],COLUMNS(RHPI[[Strand]:[Domain]]),FALSE),IF(AND(teacher_type="TB",career_stage="P"),VLOOKUP($O43,TBPI[[Strand]:[Domain]],COLUMNS(TBPI[[Strand]:[Domain]]),FALSE),IF(AND(teacher_type="TB",career_stage="HP"),VLOOKUP($O43,TBHPI[[Strand]:[Domain]],COLUMNS(TBHPI[[Strand]:[Domain]]),FALSE),"")))),"")</f>
        <v>3</v>
      </c>
      <c r="F43" s="155" t="b">
        <f>AND(COUNTIFS($E$22:$E43,E43,$G$22:$G43,TRUE)=1,$G43)</f>
        <v>0</v>
      </c>
      <c r="G43" s="212" t="b">
        <f>IFERROR(IF(AND(teacher_type="R",career_stage="P"),VLOOKUP($O43,RPI[],COLUMNS(RPI[[Strand]:[Selected]]),FALSE),IF(AND(teacher_type="R",career_stage="HP"),VLOOKUP($O43,RHPI[],COLUMNS(RHPI[[Strand]:[Selected]]),FALSE),IF(AND(teacher_type="TB",career_stage="P"),VLOOKUP($O43,TBPI[],COLUMNS(TBPI[[Strand]:[Selected]]),FALSE),IF(AND(teacher_type="TB",career_stage="HP"),VLOOKUP($O43,TBHPI[],COLUMNS(TBHPI[[Strand]:[Selected]]),FALSE),FALSE)))),FALSE)</f>
        <v>0</v>
      </c>
      <c r="H43" s="156" t="b">
        <f>IFERROR(IF(AND(teacher_type="R",career_stage="P"),AND(COUNTIFS(RPS[Strand],$O43,RPS[QET],H$21)&gt;0,$G43),IF(AND(teacher_type="R",career_stage="HP"),AND(COUNTIFS(RHPS[Strand],$O43,RHPS[QET],H$21)&gt;0,$G43),IF(AND(teacher_type="TB",career_stage="P"),AND(COUNTIFS(TBPS[Strand],$O43,TBPS[QET],H$21)&gt;0,$G43),IF(AND(teacher_type="TB",career_stage="HP"),AND(COUNTIFS(TBHPS[Strand],$O43,TBHPS[QET],H$21)&gt;0,$G43),FALSE)))),FALSE)</f>
        <v>0</v>
      </c>
      <c r="I43" s="156" t="b">
        <f t="shared" si="11"/>
        <v>0</v>
      </c>
      <c r="J43" s="156" t="b">
        <f>IFERROR(IF(AND(teacher_type="R",career_stage="P"),AND(COUNTIFS(RPS[Strand],$O43,RPS[QET],J$21)&gt;0,$G43),IF(AND(teacher_type="R",career_stage="HP"),AND(COUNTIFS(RHPS[Strand],$O43,RHPS[QET],J$21)&gt;0,$G43),IF(AND(teacher_type="TB",career_stage="P"),AND(COUNTIFS(TBPS[Strand],$O43,TBPS[QET],J$21)&gt;0,$G43),IF(AND(teacher_type="TB",career_stage="HP"),AND(COUNTIFS(TBHPS[Strand],$O43,TBHPS[QET],J$21)&gt;0,$G43),FALSE)))),FALSE)</f>
        <v>0</v>
      </c>
      <c r="K43" s="156" t="b">
        <f>IFERROR(IF(AND(teacher_type="R",career_stage="P"),AND(COUNTIFS(RPS[Strand],$O43,RPS[QET],K$21)&gt;0,$G43),IF(AND(teacher_type="R",career_stage="HP"),AND(COUNTIFS(RHPS[Strand],$O43,RHPS[QET],K$21)&gt;0,$G43),IF(AND(teacher_type="TB",career_stage="P"),AND(COUNTIFS(TBPS[Strand],$O43,TBPS[QET],K$21)&gt;0,$G43),IF(AND(teacher_type="TB",career_stage="HP"),AND(COUNTIFS(TBHPS[Strand],$O43,TBHPS[QET],K$21)&gt;0,$G43),FALSE)))),FALSE)</f>
        <v>0</v>
      </c>
      <c r="L43" s="156" t="b">
        <f t="shared" si="12"/>
        <v>0</v>
      </c>
      <c r="M43" s="165" t="str">
        <f t="shared" si="13"/>
        <v/>
      </c>
      <c r="N43" s="48" t="str">
        <f>IF($G43,COUNTIF($G$22:$G43,TRUE),"")</f>
        <v/>
      </c>
      <c r="O43" s="48" t="str" cm="1">
        <f t="array" ref="O43">IFERROR(IF(AND(teacher_type="R",career_stage="P"),INDEX(RPI[Strand],$B43),IF(AND(teacher_type="R",career_stage="HP"),INDEX(RHPI[Strand],$B43),IF(AND(teacher_type="TB",career_stage="P"),INDEX(TBPI[Strand],$B43),IF(AND(teacher_type="TB",career_stage="HP"),INDEX(TBHPI[Strand],$B43),"")))),"")</f>
        <v>4.4.2</v>
      </c>
      <c r="P43" s="166" t="str">
        <f>$C$43</f>
        <v>NCOI</v>
      </c>
      <c r="Q43" s="167">
        <f>IFERROR(IF(AND(teacher_type="R",career_stage="P"),VLOOKUP(O43,RPI[],COLUMNS(RPI[[Strand]:[Weight]]),FALSE), IF(AND(teacher_type="R",career_stage="HP"),VLOOKUP(O43,RHPI[],COLUMNS(RHPI[[Strand]:[Weight]]),FALSE), IF(AND(teacher_type="TB",career_stage="P"),VLOOKUP(O43,TBPI[],COLUMNS(TBPI[[Strand]:[Weight]]),FALSE), IF(AND(teacher_type="TB",career_stage="HP"),VLOOKUP(O43,TBHPI[],COLUMNS(TBHPI[[Strand]:[Weight]]),FALSE),0)))),0)</f>
        <v>0</v>
      </c>
      <c r="R43" s="168">
        <f>COUNTIFS($D$22:D43,"COI",$G$22:G43,TRUE)</f>
        <v>8</v>
      </c>
      <c r="S43" s="483"/>
      <c r="T43" s="169" t="str">
        <f>IFERROR(IF(LOWER(TRIM(S$20))=LOWER(TRIM(data2!$U$35)),"",IF(AND($G43,$D43="COI",S$12,CZ43),IF(OR(LOWER(TRIM(S$20))=LOWER(TRIM(data2!$U$36)),ISBLANK(S43)),1,IF(career_stage="P",VLOOKUP(S43,P_COT_vlookup,2,FALSE),IF(career_stage="HP",VLOOKUP(S43,HP_COT_vlookup,2,FALSE),""))),"")),"")</f>
        <v/>
      </c>
      <c r="U43" s="489"/>
      <c r="V43" s="170" t="str">
        <f>IFERROR(IF(LOWER(TRIM(U$20))=LOWER(TRIM(data2!$U$35)),"",IF(AND($G43,$D43="COI",U$12,DB43),IF(OR(LOWER(TRIM(U$20))=LOWER(TRIM(data2!$U$36)),ISBLANK(U43)),1,IF(career_stage="P",VLOOKUP(U43,P_COT_vlookup,2,FALSE),IF(career_stage="HP",VLOOKUP(U43,HP_COT_vlookup,2,FALSE),""))),"")),"")</f>
        <v/>
      </c>
      <c r="W43" s="483"/>
      <c r="X43" s="169" t="str">
        <f>IFERROR(IF(LOWER(TRIM(W$20))=LOWER(TRIM(data2!$U$35)),"",IF(AND($G43,$D43="COI",W$12,DD43),IF(OR(LOWER(TRIM(W$20))=LOWER(TRIM(data2!$U$36)),ISBLANK(W43)),1,IF(career_stage="P",VLOOKUP(W43,P_COT_vlookup,2,FALSE),IF(career_stage="HP",VLOOKUP(W43,HP_COT_vlookup,2,FALSE),""))),"")),"")</f>
        <v/>
      </c>
      <c r="Y43" s="489"/>
      <c r="Z43" s="170" t="str">
        <f>IFERROR(IF(LOWER(TRIM(Y$20))=LOWER(TRIM(data2!$U$35)),"",IF(AND($G43,$D43="COI",Y$12,DF43),IF(OR(LOWER(TRIM(Y$20))=LOWER(TRIM(data2!$U$36)),ISBLANK(Y43)),1,IF(career_stage="P",VLOOKUP(Y43,P_COT_vlookup,2,FALSE),IF(career_stage="HP",VLOOKUP(Y43,HP_COT_vlookup,2,FALSE),""))),"")),"")</f>
        <v/>
      </c>
      <c r="AA43" s="171">
        <f t="shared" si="14"/>
        <v>0</v>
      </c>
      <c r="AB43" s="471"/>
      <c r="AC43" s="473"/>
      <c r="AD43" s="473"/>
      <c r="AE43" s="49">
        <f t="shared" si="2"/>
        <v>0</v>
      </c>
      <c r="AF43" s="49">
        <f t="shared" si="3"/>
        <v>0</v>
      </c>
      <c r="AG43" s="172" t="str">
        <f t="shared" si="4"/>
        <v>Poor</v>
      </c>
      <c r="AI43" s="196" t="b">
        <f t="shared" si="5"/>
        <v>1</v>
      </c>
      <c r="AJ43" s="154" t="b">
        <v>1</v>
      </c>
      <c r="AK43" s="154" t="b">
        <v>1</v>
      </c>
      <c r="AL43" s="196" t="b">
        <f t="shared" si="15"/>
        <v>1</v>
      </c>
      <c r="AM43" s="154" t="b">
        <v>1</v>
      </c>
      <c r="AN43" s="196" t="b">
        <f t="shared" si="15"/>
        <v>1</v>
      </c>
      <c r="AO43" s="154" t="b">
        <v>1</v>
      </c>
      <c r="AP43" s="196" t="b">
        <f t="shared" si="15"/>
        <v>1</v>
      </c>
      <c r="AQ43" s="154" t="b">
        <v>1</v>
      </c>
      <c r="AR43" s="196" t="b">
        <f t="shared" si="15"/>
        <v>1</v>
      </c>
      <c r="AS43" s="154" t="b">
        <v>1</v>
      </c>
      <c r="AT43" s="154" t="b">
        <v>1</v>
      </c>
      <c r="AU43" s="196" t="b">
        <f t="shared" si="6"/>
        <v>1</v>
      </c>
      <c r="AV43" s="196" t="b">
        <f t="shared" si="7"/>
        <v>1</v>
      </c>
      <c r="AW43" s="196" t="b">
        <f t="shared" si="8"/>
        <v>1</v>
      </c>
      <c r="AX43" s="47" t="b">
        <v>1</v>
      </c>
      <c r="AY43" s="47" t="b">
        <v>1</v>
      </c>
      <c r="AZ43" s="47" t="b">
        <v>1</v>
      </c>
      <c r="BF43" s="154" t="str">
        <f t="shared" si="9"/>
        <v>4.4.2</v>
      </c>
      <c r="BG43" s="196" t="b" cm="1">
        <f t="array" ref="BG43">IFERROR(IF(OR(LOWER(TRIM(S$20))=LOWER(TRIM(data2!$U$35)),LOWER(TRIM(S$20))=LOWER(TRIM(data2!$U$36))),FALSE,AND(S$12,IF(AND($G43,$D43="COI"),
IF(AND(teacher_type="R",career_stage="P"),VLOOKUP($BF43,RPI[],COLUMN(RPI[cot1]),FALSE),
IF(AND(teacher_type="R",career_stage="HP"),VLOOKUP($BF43,RHPI[],COLUMN(RHPI[cot1]),FALSE),
IF(AND(teacher_type="TB",career_stage="P"),VLOOKUP($BF43,TBPI[],COLUMN(TBPI[cot1]),FALSE),
IF(AND(teacher_type="TB",career_stage="HP"),VLOOKUP($BF43,TBHPI[],COLUMN(TBHPI[cot1]),FALSE),FALSE)))),
FALSE))),FALSE)</f>
        <v>0</v>
      </c>
      <c r="BH43" s="154" t="b">
        <v>0</v>
      </c>
      <c r="BI43" s="196" t="b" cm="1">
        <f t="array" ref="BI43">IFERROR(IF(OR(LOWER(TRIM(U$20))=LOWER(TRIM(data2!$U$35)),LOWER(TRIM(U$20))=LOWER(TRIM(data2!$U$36))),FALSE,AND(U$12,IF(AND($G43,$D43="COI"),
IF(AND(teacher_type="R",career_stage="P"),VLOOKUP($BF43,RPI[],COLUMN(RPI[cot2]),FALSE),
IF(AND(teacher_type="R",career_stage="HP"),VLOOKUP($BF43,RHPI[],COLUMN(RHPI[cot2]),FALSE),
IF(AND(teacher_type="TB",career_stage="P"),VLOOKUP($BF43,TBPI[],COLUMN(TBPI[cot2]),FALSE),
IF(AND(teacher_type="TB",career_stage="HP"),VLOOKUP($BF43,TBHPI[],COLUMN(TBHPI[cot2]),FALSE),FALSE)))),
FALSE))),FALSE)</f>
        <v>0</v>
      </c>
      <c r="BJ43" s="154" t="b">
        <v>0</v>
      </c>
      <c r="BK43" s="196" t="b" cm="1">
        <f t="array" ref="BK43">IFERROR(IF(OR(LOWER(TRIM(W$20))=LOWER(TRIM(data2!$U$35)),LOWER(TRIM(W$20))=LOWER(TRIM(data2!$U$36))),FALSE,AND(W$12,IF(AND($G43,$D43="COI"),
IF(AND(teacher_type="R",career_stage="P"),VLOOKUP($BF43,RPI[],COLUMN(RPI[cot3]),FALSE),
IF(AND(teacher_type="R",career_stage="HP"),VLOOKUP($BF43,RHPI[],COLUMN(RHPI[cot3]),FALSE),
IF(AND(teacher_type="TB",career_stage="P"),VLOOKUP($BF43,TBPI[],COLUMN(TBPI[cot3]),FALSE),
IF(AND(teacher_type="TB",career_stage="HP"),VLOOKUP($BF43,TBHPI[],COLUMN(TBHPI[cot3]),FALSE),FALSE)))),
FALSE))),FALSE)</f>
        <v>0</v>
      </c>
      <c r="BL43" s="154" t="b">
        <v>0</v>
      </c>
      <c r="BM43" s="196" t="b" cm="1">
        <f t="array" ref="BM43">IFERROR(IF(OR(LOWER(TRIM(Y$20))=LOWER(TRIM(data2!$U$35)),LOWER(TRIM(Y$20))=LOWER(TRIM(data2!$U$36))),FALSE,AND(Y$12,IF(AND($G43,$D43="COI"),
IF(AND(teacher_type="R",career_stage="P"),VLOOKUP($BF43,RPI[],COLUMN(RPI[cot4]),FALSE),
IF(AND(teacher_type="R",career_stage="HP"),VLOOKUP($BF43,RHPI[],COLUMN(RHPI[cot4]),FALSE),
IF(AND(teacher_type="TB",career_stage="P"),VLOOKUP($BF43,TBPI[],COLUMN(TBPI[cot4]),FALSE),
IF(AND(teacher_type="TB",career_stage="HP"),VLOOKUP($BF43,TBHPI[],COLUMN(TBHPI[cot4]),FALSE),FALSE)))),
FALSE))),FALSE)</f>
        <v>0</v>
      </c>
      <c r="BN43" s="154" t="b">
        <v>0</v>
      </c>
      <c r="BO43" s="150">
        <f t="shared" si="16"/>
        <v>0</v>
      </c>
      <c r="BP43" s="196" t="b">
        <f t="shared" si="17"/>
        <v>0</v>
      </c>
      <c r="BQ43" s="196" t="b">
        <f>IFERROR(IF(OR(NOT(CZ43),LOWER(TRIM(S$20))=LOWER(TRIM(data2!$U$35))),TRUE,IF(AND(CZ43,LOWER(TRIM(S$20))=LOWER(TRIM(data2!$U$36))),FALSE)),FALSE)</f>
        <v>1</v>
      </c>
      <c r="BR43" s="196" t="b">
        <f t="shared" si="18"/>
        <v>0</v>
      </c>
      <c r="BS43" s="196" t="b">
        <f>IFERROR(IF(OR(NOT(DB43),LOWER(TRIM(U$20))=LOWER(TRIM(data2!$U$35))),TRUE,IF(AND(DB43,LOWER(TRIM(U$20))=LOWER(TRIM(data2!$U$36))),FALSE)),FALSE)</f>
        <v>1</v>
      </c>
      <c r="BT43" s="196" t="b">
        <f t="shared" si="19"/>
        <v>0</v>
      </c>
      <c r="BU43" s="196" t="b">
        <f>IFERROR(IF(OR(NOT(DD43),LOWER(TRIM(W$20))=LOWER(TRIM(data2!$U$35))),TRUE,IF(AND(DD43,LOWER(TRIM(W$20))=LOWER(TRIM(data2!$U$36))),FALSE)),FALSE)</f>
        <v>1</v>
      </c>
      <c r="BV43" s="196" t="b">
        <f t="shared" si="20"/>
        <v>0</v>
      </c>
      <c r="BW43" s="196" t="b">
        <f>IFERROR(IF(OR(NOT(DF43),LOWER(TRIM(Y$20))=LOWER(TRIM(data2!$U$35))),TRUE,IF(AND(DF43,LOWER(TRIM(Y$20))=LOWER(TRIM(data2!$U$36))),FALSE)),FALSE)</f>
        <v>1</v>
      </c>
      <c r="BY43" s="154" t="str">
        <f t="shared" si="21"/>
        <v/>
      </c>
      <c r="BZ43" s="154" t="str">
        <f t="shared" si="22"/>
        <v/>
      </c>
      <c r="CA43" s="154" t="str">
        <f t="shared" si="23"/>
        <v/>
      </c>
      <c r="CB43" s="154" t="str">
        <f t="shared" si="24"/>
        <v>CE43:CI43</v>
      </c>
      <c r="CC43" s="154" t="str">
        <f t="shared" si="25"/>
        <v>CK43:CO43</v>
      </c>
      <c r="CD43" s="154" t="str">
        <f t="shared" si="26"/>
        <v>CQ43:CU43</v>
      </c>
      <c r="CE43" s="359" cm="1">
        <f t="array" ref="CE43">IFERROR(IF($BY43&lt;&gt;"",
IF(AND(teacher_type="R",career_stage="P"),
    IF(INDEX(RPS[[Outstanding]:[Poor]],MATCH($BY43,RPS[[helper]:[helper]],0),CE$19)&lt;&gt;"",CE$20,""),
IF(AND(teacher_type="R",career_stage="HP"),
    IF(INDEX(RHPS[[Outstanding]:[Poor]],MATCH($BY43,RHPS[[helper]:[helper]],0),CE$19)&lt;&gt;"",CE$20,""),
IF(AND(teacher_type="TB",career_stage="P"),
    IF(INDEX(TBPS[[Outstanding]:[Poor]],MATCH($BY43,TBPS[[helper]:[helper]],0),CE$19)&lt;&gt;"",CE$20,""),
IF(AND(teacher_type="TB",career_stage="HP"),
    IF(INDEX(TBHPS[[Outstanding]:[Poor]],MATCH($BY43,TBHPS[[helper]:[helper]],0),CE$19)&lt;&gt;"",CE$20,""),
CE$20)))),
CE$20),CE$20)</f>
        <v>5</v>
      </c>
      <c r="CF43" s="359" cm="1">
        <f t="array" ref="CF43">IFERROR(IF($BY43&lt;&gt;"",
IF(AND(teacher_type="R",career_stage="P"),
    IF(INDEX(RPS[[Outstanding]:[Poor]],MATCH($BY43,RPS[[helper]:[helper]],0),CF$19)&lt;&gt;"",CF$20,""),
IF(AND(teacher_type="R",career_stage="HP"),
    IF(INDEX(RHPS[[Outstanding]:[Poor]],MATCH($BY43,RHPS[[helper]:[helper]],0),CF$19)&lt;&gt;"",CF$20,""),
IF(AND(teacher_type="TB",career_stage="P"),
    IF(INDEX(TBPS[[Outstanding]:[Poor]],MATCH($BY43,TBPS[[helper]:[helper]],0),CF$19)&lt;&gt;"",CF$20,""),
IF(AND(teacher_type="TB",career_stage="HP"),
    IF(INDEX(TBHPS[[Outstanding]:[Poor]],MATCH($BY43,TBHPS[[helper]:[helper]],0),CF$19)&lt;&gt;"",CF$20,""),
CF$20)))),
CF$20),CF$20)</f>
        <v>4</v>
      </c>
      <c r="CG43" s="359" cm="1">
        <f t="array" ref="CG43">IFERROR(IF($BY43&lt;&gt;"",
IF(AND(teacher_type="R",career_stage="P"),
    IF(INDEX(RPS[[Outstanding]:[Poor]],MATCH($BY43,RPS[[helper]:[helper]],0),CG$19)&lt;&gt;"",CG$20,""),
IF(AND(teacher_type="R",career_stage="HP"),
    IF(INDEX(RHPS[[Outstanding]:[Poor]],MATCH($BY43,RHPS[[helper]:[helper]],0),CG$19)&lt;&gt;"",CG$20,""),
IF(AND(teacher_type="TB",career_stage="P"),
    IF(INDEX(TBPS[[Outstanding]:[Poor]],MATCH($BY43,TBPS[[helper]:[helper]],0),CG$19)&lt;&gt;"",CG$20,""),
IF(AND(teacher_type="TB",career_stage="HP"),
    IF(INDEX(TBHPS[[Outstanding]:[Poor]],MATCH($BY43,TBHPS[[helper]:[helper]],0),CG$19)&lt;&gt;"",CG$20,""),
CG$20)))),
CG$20),CG$20)</f>
        <v>3</v>
      </c>
      <c r="CH43" s="359" cm="1">
        <f t="array" ref="CH43">IFERROR(IF($BY43&lt;&gt;"",
IF(AND(teacher_type="R",career_stage="P"),
    IF(INDEX(RPS[[Outstanding]:[Poor]],MATCH($BY43,RPS[[helper]:[helper]],0),CH$19)&lt;&gt;"",CH$20,""),
IF(AND(teacher_type="R",career_stage="HP"),
    IF(INDEX(RHPS[[Outstanding]:[Poor]],MATCH($BY43,RHPS[[helper]:[helper]],0),CH$19)&lt;&gt;"",CH$20,""),
IF(AND(teacher_type="TB",career_stage="P"),
    IF(INDEX(TBPS[[Outstanding]:[Poor]],MATCH($BY43,TBPS[[helper]:[helper]],0),CH$19)&lt;&gt;"",CH$20,""),
IF(AND(teacher_type="TB",career_stage="HP"),
    IF(INDEX(TBHPS[[Outstanding]:[Poor]],MATCH($BY43,TBHPS[[helper]:[helper]],0),CH$19)&lt;&gt;"",CH$20,""),
CH$20)))),
CH$20),CH$20)</f>
        <v>2</v>
      </c>
      <c r="CI43" s="359" cm="1">
        <f t="array" ref="CI43">IFERROR(IF($BY43&lt;&gt;"",
IF(AND(teacher_type="R",career_stage="P"),
    IF(INDEX(RPS[[Outstanding]:[Poor]],MATCH($BY43,RPS[[helper]:[helper]],0),CI$19)&lt;&gt;"",CI$20,""),
IF(AND(teacher_type="R",career_stage="HP"),
    IF(INDEX(RHPS[[Outstanding]:[Poor]],MATCH($BY43,RHPS[[helper]:[helper]],0),CI$19)&lt;&gt;"",CI$20,""),
IF(AND(teacher_type="TB",career_stage="P"),
    IF(INDEX(TBPS[[Outstanding]:[Poor]],MATCH($BY43,TBPS[[helper]:[helper]],0),CI$19)&lt;&gt;"",CI$20,""),
IF(AND(teacher_type="TB",career_stage="HP"),
    IF(INDEX(TBHPS[[Outstanding]:[Poor]],MATCH($BY43,TBHPS[[helper]:[helper]],0),CI$19)&lt;&gt;"",CI$20,""),
CI$20)))),
CI$20),CI$20)</f>
        <v>1</v>
      </c>
      <c r="CJ43" s="360">
        <f t="shared" si="27"/>
        <v>5</v>
      </c>
      <c r="CK43" s="359" cm="1">
        <f t="array" ref="CK43">IFERROR(IF($BZ43&lt;&gt;"",
IF(AND(teacher_type="R",career_stage="P"),
    IF(INDEX(RPS[[Outstanding]:[Poor]],MATCH($BZ43,RPS[[helper]:[helper]],0),CK$19)&lt;&gt;"",CK$20,""),
IF(AND(teacher_type="R",career_stage="HP"),
    IF(INDEX(RHPS[[Outstanding]:[Poor]],MATCH($BZ43,RHPS[[helper]:[helper]],0),CK$19)&lt;&gt;"",CK$20,""),
IF(AND(teacher_type="TB",career_stage="P"),
    IF(INDEX(TBPS[[Outstanding]:[Poor]],MATCH($BZ43,TBPS[[helper]:[helper]],0),CK$19)&lt;&gt;"",CK$20,""),
IF(AND(teacher_type="TB",career_stage="HP"),
    IF(INDEX(TBHPS[[Outstanding]:[Poor]],MATCH($BZ43,TBHPS[[helper]:[helper]],0),CK$19)&lt;&gt;"",CK$20,""),
CK$20)))),
CK$20),CK$20)</f>
        <v>5</v>
      </c>
      <c r="CL43" s="359" cm="1">
        <f t="array" ref="CL43">IFERROR(IF($BZ43&lt;&gt;"",
IF(AND(teacher_type="R",career_stage="P"),
    IF(INDEX(RPS[[Outstanding]:[Poor]],MATCH($BZ43,RPS[[helper]:[helper]],0),CL$19)&lt;&gt;"",CL$20,""),
IF(AND(teacher_type="R",career_stage="HP"),
    IF(INDEX(RHPS[[Outstanding]:[Poor]],MATCH($BZ43,RHPS[[helper]:[helper]],0),CL$19)&lt;&gt;"",CL$20,""),
IF(AND(teacher_type="TB",career_stage="P"),
    IF(INDEX(TBPS[[Outstanding]:[Poor]],MATCH($BZ43,TBPS[[helper]:[helper]],0),CL$19)&lt;&gt;"",CL$20,""),
IF(AND(teacher_type="TB",career_stage="HP"),
    IF(INDEX(TBHPS[[Outstanding]:[Poor]],MATCH($BZ43,TBHPS[[helper]:[helper]],0),CL$19)&lt;&gt;"",CL$20,""),
CL$20)))),
CL$20),CL$20)</f>
        <v>4</v>
      </c>
      <c r="CM43" s="359" cm="1">
        <f t="array" ref="CM43">IFERROR(IF($BZ43&lt;&gt;"",
IF(AND(teacher_type="R",career_stage="P"),
    IF(INDEX(RPS[[Outstanding]:[Poor]],MATCH($BZ43,RPS[[helper]:[helper]],0),CM$19)&lt;&gt;"",CM$20,""),
IF(AND(teacher_type="R",career_stage="HP"),
    IF(INDEX(RHPS[[Outstanding]:[Poor]],MATCH($BZ43,RHPS[[helper]:[helper]],0),CM$19)&lt;&gt;"",CM$20,""),
IF(AND(teacher_type="TB",career_stage="P"),
    IF(INDEX(TBPS[[Outstanding]:[Poor]],MATCH($BZ43,TBPS[[helper]:[helper]],0),CM$19)&lt;&gt;"",CM$20,""),
IF(AND(teacher_type="TB",career_stage="HP"),
    IF(INDEX(TBHPS[[Outstanding]:[Poor]],MATCH($BZ43,TBHPS[[helper]:[helper]],0),CM$19)&lt;&gt;"",CM$20,""),
CM$20)))),
CM$20),CM$20)</f>
        <v>3</v>
      </c>
      <c r="CN43" s="359" cm="1">
        <f t="array" ref="CN43">IFERROR(IF($BZ43&lt;&gt;"",
IF(AND(teacher_type="R",career_stage="P"),
    IF(INDEX(RPS[[Outstanding]:[Poor]],MATCH($BZ43,RPS[[helper]:[helper]],0),CN$19)&lt;&gt;"",CN$20,""),
IF(AND(teacher_type="R",career_stage="HP"),
    IF(INDEX(RHPS[[Outstanding]:[Poor]],MATCH($BZ43,RHPS[[helper]:[helper]],0),CN$19)&lt;&gt;"",CN$20,""),
IF(AND(teacher_type="TB",career_stage="P"),
    IF(INDEX(TBPS[[Outstanding]:[Poor]],MATCH($BZ43,TBPS[[helper]:[helper]],0),CN$19)&lt;&gt;"",CN$20,""),
IF(AND(teacher_type="TB",career_stage="HP"),
    IF(INDEX(TBHPS[[Outstanding]:[Poor]],MATCH($BZ43,TBHPS[[helper]:[helper]],0),CN$19)&lt;&gt;"",CN$20,""),
CN$20)))),
CN$20),CN$20)</f>
        <v>2</v>
      </c>
      <c r="CO43" s="359" cm="1">
        <f t="array" ref="CO43">IFERROR(IF($BZ43&lt;&gt;"",
IF(AND(teacher_type="R",career_stage="P"),
    IF(INDEX(RPS[[Outstanding]:[Poor]],MATCH($BZ43,RPS[[helper]:[helper]],0),CO$19)&lt;&gt;"",CO$20,""),
IF(AND(teacher_type="R",career_stage="HP"),
    IF(INDEX(RHPS[[Outstanding]:[Poor]],MATCH($BZ43,RHPS[[helper]:[helper]],0),CO$19)&lt;&gt;"",CO$20,""),
IF(AND(teacher_type="TB",career_stage="P"),
    IF(INDEX(TBPS[[Outstanding]:[Poor]],MATCH($BZ43,TBPS[[helper]:[helper]],0),CO$19)&lt;&gt;"",CO$20,""),
IF(AND(teacher_type="TB",career_stage="HP"),
    IF(INDEX(TBHPS[[Outstanding]:[Poor]],MATCH($BZ43,TBHPS[[helper]:[helper]],0),CO$19)&lt;&gt;"",CO$20,""),
CO$20)))),
CO$20),CO$20)</f>
        <v>1</v>
      </c>
      <c r="CP43" s="360">
        <f t="shared" si="28"/>
        <v>5</v>
      </c>
      <c r="CQ43" s="359" cm="1">
        <f t="array" ref="CQ43">IFERROR(IF($CA43&lt;&gt;"",
IF(AND(teacher_type="R",career_stage="P"),
    IF(INDEX(RPS[[Outstanding]:[Poor]],MATCH($CA43,RPS[[helper]:[helper]],0),CQ$19)&lt;&gt;"",CQ$20,""),
IF(AND(teacher_type="R",career_stage="HP"),
    IF(INDEX(RHPS[[Outstanding]:[Poor]],MATCH($CA43,RHPS[[helper]:[helper]],0),CQ$19)&lt;&gt;"",CQ$20,""),
IF(AND(teacher_type="TB",career_stage="P"),
    IF(INDEX(TBPS[[Outstanding]:[Poor]],MATCH($CA43,TBPS[[helper]:[helper]],0),CQ$19)&lt;&gt;"",CQ$20,""),
IF(AND(teacher_type="TB",career_stage="HP"),
    IF(INDEX(TBHPS[[Outstanding]:[Poor]],MATCH($CA43,TBHPS[[helper]:[helper]],0),CQ$19)&lt;&gt;"",CQ$20,""),
CQ$20)))),
CQ$20),CQ$20)</f>
        <v>5</v>
      </c>
      <c r="CR43" s="359" cm="1">
        <f t="array" ref="CR43">IFERROR(IF($CA43&lt;&gt;"",
IF(AND(teacher_type="R",career_stage="P"),
    IF(INDEX(RPS[[Outstanding]:[Poor]],MATCH($CA43,RPS[[helper]:[helper]],0),CR$19)&lt;&gt;"",CR$20,""),
IF(AND(teacher_type="R",career_stage="HP"),
    IF(INDEX(RHPS[[Outstanding]:[Poor]],MATCH($CA43,RHPS[[helper]:[helper]],0),CR$19)&lt;&gt;"",CR$20,""),
IF(AND(teacher_type="TB",career_stage="P"),
    IF(INDEX(TBPS[[Outstanding]:[Poor]],MATCH($CA43,TBPS[[helper]:[helper]],0),CR$19)&lt;&gt;"",CR$20,""),
IF(AND(teacher_type="TB",career_stage="HP"),
    IF(INDEX(TBHPS[[Outstanding]:[Poor]],MATCH($CA43,TBHPS[[helper]:[helper]],0),CR$19)&lt;&gt;"",CR$20,""),
CR$20)))),
CR$20),CR$20)</f>
        <v>4</v>
      </c>
      <c r="CS43" s="359" cm="1">
        <f t="array" ref="CS43">IFERROR(IF($CA43&lt;&gt;"",
IF(AND(teacher_type="R",career_stage="P"),
    IF(INDEX(RPS[[Outstanding]:[Poor]],MATCH($CA43,RPS[[helper]:[helper]],0),CS$19)&lt;&gt;"",CS$20,""),
IF(AND(teacher_type="R",career_stage="HP"),
    IF(INDEX(RHPS[[Outstanding]:[Poor]],MATCH($CA43,RHPS[[helper]:[helper]],0),CS$19)&lt;&gt;"",CS$20,""),
IF(AND(teacher_type="TB",career_stage="P"),
    IF(INDEX(TBPS[[Outstanding]:[Poor]],MATCH($CA43,TBPS[[helper]:[helper]],0),CS$19)&lt;&gt;"",CS$20,""),
IF(AND(teacher_type="TB",career_stage="HP"),
    IF(INDEX(TBHPS[[Outstanding]:[Poor]],MATCH($CA43,TBHPS[[helper]:[helper]],0),CS$19)&lt;&gt;"",CS$20,""),
CS$20)))),
CS$20),CS$20)</f>
        <v>3</v>
      </c>
      <c r="CT43" s="359" cm="1">
        <f t="array" ref="CT43">IFERROR(IF($CA43&lt;&gt;"",
IF(AND(teacher_type="R",career_stage="P"),
    IF(INDEX(RPS[[Outstanding]:[Poor]],MATCH($CA43,RPS[[helper]:[helper]],0),CT$19)&lt;&gt;"",CT$20,""),
IF(AND(teacher_type="R",career_stage="HP"),
    IF(INDEX(RHPS[[Outstanding]:[Poor]],MATCH($CA43,RHPS[[helper]:[helper]],0),CT$19)&lt;&gt;"",CT$20,""),
IF(AND(teacher_type="TB",career_stage="P"),
    IF(INDEX(TBPS[[Outstanding]:[Poor]],MATCH($CA43,TBPS[[helper]:[helper]],0),CT$19)&lt;&gt;"",CT$20,""),
IF(AND(teacher_type="TB",career_stage="HP"),
    IF(INDEX(TBHPS[[Outstanding]:[Poor]],MATCH($CA43,TBHPS[[helper]:[helper]],0),CT$19)&lt;&gt;"",CT$20,""),
CT$20)))),
CT$20),CT$20)</f>
        <v>2</v>
      </c>
      <c r="CU43" s="359" cm="1">
        <f t="array" ref="CU43">IFERROR(IF($CA43&lt;&gt;"",
IF(AND(teacher_type="R",career_stage="P"),
    IF(INDEX(RPS[[Outstanding]:[Poor]],MATCH($CA43,RPS[[helper]:[helper]],0),CU$19)&lt;&gt;"",CU$20,""),
IF(AND(teacher_type="R",career_stage="HP"),
    IF(INDEX(RHPS[[Outstanding]:[Poor]],MATCH($CA43,RHPS[[helper]:[helper]],0),CU$19)&lt;&gt;"",CU$20,""),
IF(AND(teacher_type="TB",career_stage="P"),
    IF(INDEX(TBPS[[Outstanding]:[Poor]],MATCH($CA43,TBPS[[helper]:[helper]],0),CU$19)&lt;&gt;"",CU$20,""),
IF(AND(teacher_type="TB",career_stage="HP"),
    IF(INDEX(TBHPS[[Outstanding]:[Poor]],MATCH($CA43,TBHPS[[helper]:[helper]],0),CU$19)&lt;&gt;"",CU$20,""),
CU$20)))),
CU$20),CU$20)</f>
        <v>1</v>
      </c>
      <c r="CV43" s="360">
        <f t="shared" si="29"/>
        <v>5</v>
      </c>
      <c r="CY43" s="443" t="b" cm="1">
        <f t="array" ref="CY43">IFERROR(AND(S$12,IF(AND($G43,$D43="COI"),
IF(AND(teacher_type="R",career_stage="P"),VLOOKUP($BF43,RPI[],COLUMN(RPI[cot1]),FALSE),
IF(AND(teacher_type="R",career_stage="HP"),VLOOKUP($BF43,RHPI[],COLUMN(RHPI[cot1]),FALSE),
IF(AND(teacher_type="TB",career_stage="P"),VLOOKUP($BF43,TBPI[],COLUMN(TBPI[cot1]),FALSE),
IF(AND(teacher_type="TB",career_stage="HP"),VLOOKUP($BF43,TBHPI[],COLUMN(TBHPI[cot1]),FALSE),FALSE)))),
FALSE)),FALSE)</f>
        <v>0</v>
      </c>
      <c r="CZ43" s="443" t="b">
        <f t="shared" si="30"/>
        <v>0</v>
      </c>
      <c r="DA43" s="443" t="b" cm="1">
        <f t="array" ref="DA43">IFERROR(AND(U$12,IF(AND($G43,$D43="COI"),
IF(AND(teacher_type="R",career_stage="P"),VLOOKUP($BF43,RPI[],COLUMN(RPI[cot2]),FALSE),
IF(AND(teacher_type="R",career_stage="HP"),VLOOKUP($BF43,RHPI[],COLUMN(RHPI[cot2]),FALSE),
IF(AND(teacher_type="TB",career_stage="P"),VLOOKUP($BF43,TBPI[],COLUMN(TBPI[cot2]),FALSE),
IF(AND(teacher_type="TB",career_stage="HP"),VLOOKUP($BF43,TBHPI[],COLUMN(TBHPI[cot2]),FALSE),FALSE)))),
FALSE)),FALSE)</f>
        <v>0</v>
      </c>
      <c r="DB43" s="443" t="b">
        <f t="shared" si="31"/>
        <v>0</v>
      </c>
      <c r="DC43" s="443" t="b" cm="1">
        <f t="array" ref="DC43">IFERROR(AND(W$12,IF(AND($G43,$D43="COI"),
IF(AND(teacher_type="R",career_stage="P"),VLOOKUP($BF43,RPI[],COLUMN(RPI[cot3]),FALSE),
IF(AND(teacher_type="R",career_stage="HP"),VLOOKUP($BF43,RHPI[],COLUMN(RHPI[cot3]),FALSE),
IF(AND(teacher_type="TB",career_stage="P"),VLOOKUP($BF43,TBPI[],COLUMN(TBPI[cot3]),FALSE),
IF(AND(teacher_type="TB",career_stage="HP"),VLOOKUP($BF43,TBHPI[],COLUMN(TBHPI[cot3]),FALSE),FALSE)))),
FALSE)),FALSE)</f>
        <v>0</v>
      </c>
      <c r="DD43" s="443" t="b">
        <f t="shared" si="32"/>
        <v>0</v>
      </c>
      <c r="DE43" s="443" t="b" cm="1">
        <f t="array" ref="DE43">IFERROR(AND(Y$12,IF(AND($G43,$D43="COI"),
IF(AND(teacher_type="R",career_stage="P"),VLOOKUP($BF43,RPI[],COLUMN(RPI[cot4]),FALSE),
IF(AND(teacher_type="R",career_stage="HP"),VLOOKUP($BF43,RHPI[],COLUMN(RHPI[cot4]),FALSE),
IF(AND(teacher_type="TB",career_stage="P"),VLOOKUP($BF43,TBPI[],COLUMN(TBPI[cot4]),FALSE),
IF(AND(teacher_type="TB",career_stage="HP"),VLOOKUP($BF43,TBHPI[],COLUMN(TBHPI[cot4]),FALSE),FALSE)))),
FALSE)),FALSE)</f>
        <v>0</v>
      </c>
      <c r="DF43" s="443" t="b">
        <f t="shared" si="33"/>
        <v>0</v>
      </c>
      <c r="DG43" s="150">
        <f t="shared" si="34"/>
        <v>0</v>
      </c>
      <c r="DH43" s="154">
        <f>IF(AND(CY43,LOWER(TRIM(S$20))=LOWER(TRIM(data2!$U$35))),1,0) +
IF(AND(DA43,LOWER(TRIM(U$20))=LOWER(TRIM(data2!$U$35))),1,0) +
IF(AND(DC43,LOWER(TRIM(W$20))=LOWER(TRIM(data2!$U$35))),1,0) +
IF(AND(DE43,LOWER(TRIM(Y$20))=LOWER(TRIM(data2!$U$35))),1,0)</f>
        <v>0</v>
      </c>
      <c r="DJ43" s="154">
        <f t="shared" si="35"/>
        <v>0</v>
      </c>
    </row>
    <row r="44" spans="1:114" s="154" customFormat="1" ht="24.95" hidden="1" customHeight="1" x14ac:dyDescent="0.25">
      <c r="A44" s="156"/>
      <c r="B44" s="154">
        <v>23</v>
      </c>
      <c r="C44" s="150" t="str">
        <f>IFERROR(IF(AND(teacher_type="R",career_stage="P"),VLOOKUP(O44,RPI[],COLUMNS(RPI[[Strand]:[admin_selected_coi_ncoi]]),FALSE),IF(AND(teacher_type="R",career_stage="HP"),VLOOKUP(O44,RHPI[],COLUMNS(RHPI[[Strand]:[admin_selected_coi_ncoi]]),FALSE),IF(AND(teacher_type="TB",career_stage="P"),VLOOKUP(O44,TBPI[],COLUMNS(TBPI[[Strand]:[admin_selected_coi_ncoi]]),FALSE),IF(AND(teacher_type="TB",career_stage="HP"),VLOOKUP(O44,TBHPI[],COLUMNS(TBHPI[[Strand]:[admin_selected_coi_ncoi]]),FALSE),"NCOI")))),"NCOI")</f>
        <v>COI</v>
      </c>
      <c r="D44" s="150" t="str">
        <f t="shared" si="10"/>
        <v/>
      </c>
      <c r="E44" s="150">
        <f>IFERROR(IF(AND(teacher_type="R",career_stage="P"),VLOOKUP($O44,RPI[[Strand]:[Domain]],COLUMNS(RPI[[Strand]:[Domain]]),FALSE),IF(AND(teacher_type="R",career_stage="HP"),VLOOKUP($O44,RHPI[[Strand]:[Domain]],COLUMNS(RHPI[[Strand]:[Domain]]),FALSE),IF(AND(teacher_type="TB",career_stage="P"),VLOOKUP($O44,TBPI[[Strand]:[Domain]],COLUMNS(TBPI[[Strand]:[Domain]]),FALSE),IF(AND(teacher_type="TB",career_stage="HP"),VLOOKUP($O44,TBHPI[[Strand]:[Domain]],COLUMNS(TBHPI[[Strand]:[Domain]]),FALSE),"")))),"")</f>
        <v>3</v>
      </c>
      <c r="F44" s="155" t="b">
        <f>AND(COUNTIFS($E$22:$E44,E44,$G$22:$G44,TRUE)=1,$G44)</f>
        <v>0</v>
      </c>
      <c r="G44" s="212" t="b">
        <f>IFERROR(IF(AND(teacher_type="R",career_stage="P"),VLOOKUP($O44,RPI[],COLUMNS(RPI[[Strand]:[Selected]]),FALSE),IF(AND(teacher_type="R",career_stage="HP"),VLOOKUP($O44,RHPI[],COLUMNS(RHPI[[Strand]:[Selected]]),FALSE),IF(AND(teacher_type="TB",career_stage="P"),VLOOKUP($O44,TBPI[],COLUMNS(TBPI[[Strand]:[Selected]]),FALSE),IF(AND(teacher_type="TB",career_stage="HP"),VLOOKUP($O44,TBHPI[],COLUMNS(TBHPI[[Strand]:[Selected]]),FALSE),FALSE)))),FALSE)</f>
        <v>0</v>
      </c>
      <c r="H44" s="156" t="b">
        <f>IFERROR(IF(AND(teacher_type="R",career_stage="P"),AND(COUNTIFS(RPS[Strand],$O44,RPS[QET],H$21)&gt;0,$G44),IF(AND(teacher_type="R",career_stage="HP"),AND(COUNTIFS(RHPS[Strand],$O44,RHPS[QET],H$21)&gt;0,$G44),IF(AND(teacher_type="TB",career_stage="P"),AND(COUNTIFS(TBPS[Strand],$O44,TBPS[QET],H$21)&gt;0,$G44),IF(AND(teacher_type="TB",career_stage="HP"),AND(COUNTIFS(TBHPS[Strand],$O44,TBHPS[QET],H$21)&gt;0,$G44),FALSE)))),FALSE)</f>
        <v>0</v>
      </c>
      <c r="I44" s="156" t="b">
        <f t="shared" si="11"/>
        <v>0</v>
      </c>
      <c r="J44" s="156" t="b">
        <f>IFERROR(IF(AND(teacher_type="R",career_stage="P"),AND(COUNTIFS(RPS[Strand],$O44,RPS[QET],J$21)&gt;0,$G44),IF(AND(teacher_type="R",career_stage="HP"),AND(COUNTIFS(RHPS[Strand],$O44,RHPS[QET],J$21)&gt;0,$G44),IF(AND(teacher_type="TB",career_stage="P"),AND(COUNTIFS(TBPS[Strand],$O44,TBPS[QET],J$21)&gt;0,$G44),IF(AND(teacher_type="TB",career_stage="HP"),AND(COUNTIFS(TBHPS[Strand],$O44,TBHPS[QET],J$21)&gt;0,$G44),FALSE)))),FALSE)</f>
        <v>0</v>
      </c>
      <c r="K44" s="156" t="b">
        <f>IFERROR(IF(AND(teacher_type="R",career_stage="P"),AND(COUNTIFS(RPS[Strand],$O44,RPS[QET],K$21)&gt;0,$G44),IF(AND(teacher_type="R",career_stage="HP"),AND(COUNTIFS(RHPS[Strand],$O44,RHPS[QET],K$21)&gt;0,$G44),IF(AND(teacher_type="TB",career_stage="P"),AND(COUNTIFS(TBPS[Strand],$O44,TBPS[QET],K$21)&gt;0,$G44),IF(AND(teacher_type="TB",career_stage="HP"),AND(COUNTIFS(TBHPS[Strand],$O44,TBHPS[QET],K$21)&gt;0,$G44),FALSE)))),FALSE)</f>
        <v>0</v>
      </c>
      <c r="L44" s="156" t="b">
        <f t="shared" si="12"/>
        <v>0</v>
      </c>
      <c r="M44" s="165" t="str">
        <f t="shared" si="13"/>
        <v/>
      </c>
      <c r="N44" s="48" t="str">
        <f>IF($G44,COUNTIF($G$22:$G44,TRUE),"")</f>
        <v/>
      </c>
      <c r="O44" s="48" t="str" cm="1">
        <f t="array" ref="O44">IFERROR(IF(AND(teacher_type="R",career_stage="P"),INDEX(RPI[Strand],$B44),IF(AND(teacher_type="R",career_stage="HP"),INDEX(RHPI[Strand],$B44),IF(AND(teacher_type="TB",career_stage="P"),INDEX(TBPI[Strand],$B44),IF(AND(teacher_type="TB",career_stage="HP"),INDEX(TBHPI[Strand],$B44),"")))),"")</f>
        <v>4.5.2</v>
      </c>
      <c r="P44" s="166" t="str">
        <f>$C$44</f>
        <v>COI</v>
      </c>
      <c r="Q44" s="167">
        <f>IFERROR(IF(AND(teacher_type="R",career_stage="P"),VLOOKUP(O44,RPI[],COLUMNS(RPI[[Strand]:[Weight]]),FALSE), IF(AND(teacher_type="R",career_stage="HP"),VLOOKUP(O44,RHPI[],COLUMNS(RHPI[[Strand]:[Weight]]),FALSE), IF(AND(teacher_type="TB",career_stage="P"),VLOOKUP(O44,TBPI[],COLUMNS(TBPI[[Strand]:[Weight]]),FALSE), IF(AND(teacher_type="TB",career_stage="HP"),VLOOKUP(O44,TBHPI[],COLUMNS(TBHPI[[Strand]:[Weight]]),FALSE),0)))),0)</f>
        <v>0</v>
      </c>
      <c r="R44" s="168">
        <f>COUNTIFS($D$22:D44,"COI",$G$22:G44,TRUE)</f>
        <v>8</v>
      </c>
      <c r="S44" s="483"/>
      <c r="T44" s="169" t="str">
        <f>IFERROR(IF(LOWER(TRIM(S$20))=LOWER(TRIM(data2!$U$35)),"",IF(AND($G44,$D44="COI",S$12,CZ44),IF(OR(LOWER(TRIM(S$20))=LOWER(TRIM(data2!$U$36)),ISBLANK(S44)),1,IF(career_stage="P",VLOOKUP(S44,P_COT_vlookup,2,FALSE),IF(career_stage="HP",VLOOKUP(S44,HP_COT_vlookup,2,FALSE),""))),"")),"")</f>
        <v/>
      </c>
      <c r="U44" s="489"/>
      <c r="V44" s="170" t="str">
        <f>IFERROR(IF(LOWER(TRIM(U$20))=LOWER(TRIM(data2!$U$35)),"",IF(AND($G44,$D44="COI",U$12,DB44),IF(OR(LOWER(TRIM(U$20))=LOWER(TRIM(data2!$U$36)),ISBLANK(U44)),1,IF(career_stage="P",VLOOKUP(U44,P_COT_vlookup,2,FALSE),IF(career_stage="HP",VLOOKUP(U44,HP_COT_vlookup,2,FALSE),""))),"")),"")</f>
        <v/>
      </c>
      <c r="W44" s="483"/>
      <c r="X44" s="169" t="str">
        <f>IFERROR(IF(LOWER(TRIM(W$20))=LOWER(TRIM(data2!$U$35)),"",IF(AND($G44,$D44="COI",W$12,DD44),IF(OR(LOWER(TRIM(W$20))=LOWER(TRIM(data2!$U$36)),ISBLANK(W44)),1,IF(career_stage="P",VLOOKUP(W44,P_COT_vlookup,2,FALSE),IF(career_stage="HP",VLOOKUP(W44,HP_COT_vlookup,2,FALSE),""))),"")),"")</f>
        <v/>
      </c>
      <c r="Y44" s="489"/>
      <c r="Z44" s="170" t="str">
        <f>IFERROR(IF(LOWER(TRIM(Y$20))=LOWER(TRIM(data2!$U$35)),"",IF(AND($G44,$D44="COI",Y$12,DF44),IF(OR(LOWER(TRIM(Y$20))=LOWER(TRIM(data2!$U$36)),ISBLANK(Y44)),1,IF(career_stage="P",VLOOKUP(Y44,P_COT_vlookup,2,FALSE),IF(career_stage="HP",VLOOKUP(Y44,HP_COT_vlookup,2,FALSE),""))),"")),"")</f>
        <v/>
      </c>
      <c r="AA44" s="171">
        <f t="shared" si="14"/>
        <v>0</v>
      </c>
      <c r="AB44" s="471"/>
      <c r="AC44" s="473"/>
      <c r="AD44" s="473"/>
      <c r="AE44" s="49">
        <f t="shared" si="2"/>
        <v>0</v>
      </c>
      <c r="AF44" s="49">
        <f t="shared" si="3"/>
        <v>0</v>
      </c>
      <c r="AG44" s="172" t="str">
        <f t="shared" si="4"/>
        <v>Poor</v>
      </c>
      <c r="AI44" s="196" t="b">
        <f t="shared" si="5"/>
        <v>1</v>
      </c>
      <c r="AJ44" s="154" t="b">
        <v>1</v>
      </c>
      <c r="AK44" s="154" t="b">
        <v>1</v>
      </c>
      <c r="AL44" s="196" t="b">
        <f t="shared" si="15"/>
        <v>1</v>
      </c>
      <c r="AM44" s="154" t="b">
        <v>1</v>
      </c>
      <c r="AN44" s="196" t="b">
        <f t="shared" si="15"/>
        <v>1</v>
      </c>
      <c r="AO44" s="154" t="b">
        <v>1</v>
      </c>
      <c r="AP44" s="196" t="b">
        <f t="shared" si="15"/>
        <v>1</v>
      </c>
      <c r="AQ44" s="154" t="b">
        <v>1</v>
      </c>
      <c r="AR44" s="196" t="b">
        <f t="shared" si="15"/>
        <v>1</v>
      </c>
      <c r="AS44" s="154" t="b">
        <v>1</v>
      </c>
      <c r="AT44" s="154" t="b">
        <v>1</v>
      </c>
      <c r="AU44" s="196" t="b">
        <f t="shared" si="6"/>
        <v>1</v>
      </c>
      <c r="AV44" s="196" t="b">
        <f t="shared" si="7"/>
        <v>1</v>
      </c>
      <c r="AW44" s="196" t="b">
        <f t="shared" si="8"/>
        <v>1</v>
      </c>
      <c r="AX44" s="47" t="b">
        <v>1</v>
      </c>
      <c r="AY44" s="47" t="b">
        <v>1</v>
      </c>
      <c r="AZ44" s="47" t="b">
        <v>1</v>
      </c>
      <c r="BF44" s="154" t="str">
        <f t="shared" si="9"/>
        <v>4.5.2</v>
      </c>
      <c r="BG44" s="196" t="b" cm="1">
        <f t="array" ref="BG44">IFERROR(IF(OR(LOWER(TRIM(S$20))=LOWER(TRIM(data2!$U$35)),LOWER(TRIM(S$20))=LOWER(TRIM(data2!$U$36))),FALSE,AND(S$12,IF(AND($G44,$D44="COI"),
IF(AND(teacher_type="R",career_stage="P"),VLOOKUP($BF44,RPI[],COLUMN(RPI[cot1]),FALSE),
IF(AND(teacher_type="R",career_stage="HP"),VLOOKUP($BF44,RHPI[],COLUMN(RHPI[cot1]),FALSE),
IF(AND(teacher_type="TB",career_stage="P"),VLOOKUP($BF44,TBPI[],COLUMN(TBPI[cot1]),FALSE),
IF(AND(teacher_type="TB",career_stage="HP"),VLOOKUP($BF44,TBHPI[],COLUMN(TBHPI[cot1]),FALSE),FALSE)))),
FALSE))),FALSE)</f>
        <v>0</v>
      </c>
      <c r="BH44" s="154" t="b">
        <v>0</v>
      </c>
      <c r="BI44" s="196" t="b" cm="1">
        <f t="array" ref="BI44">IFERROR(IF(OR(LOWER(TRIM(U$20))=LOWER(TRIM(data2!$U$35)),LOWER(TRIM(U$20))=LOWER(TRIM(data2!$U$36))),FALSE,AND(U$12,IF(AND($G44,$D44="COI"),
IF(AND(teacher_type="R",career_stage="P"),VLOOKUP($BF44,RPI[],COLUMN(RPI[cot2]),FALSE),
IF(AND(teacher_type="R",career_stage="HP"),VLOOKUP($BF44,RHPI[],COLUMN(RHPI[cot2]),FALSE),
IF(AND(teacher_type="TB",career_stage="P"),VLOOKUP($BF44,TBPI[],COLUMN(TBPI[cot2]),FALSE),
IF(AND(teacher_type="TB",career_stage="HP"),VLOOKUP($BF44,TBHPI[],COLUMN(TBHPI[cot2]),FALSE),FALSE)))),
FALSE))),FALSE)</f>
        <v>0</v>
      </c>
      <c r="BJ44" s="154" t="b">
        <v>0</v>
      </c>
      <c r="BK44" s="196" t="b" cm="1">
        <f t="array" ref="BK44">IFERROR(IF(OR(LOWER(TRIM(W$20))=LOWER(TRIM(data2!$U$35)),LOWER(TRIM(W$20))=LOWER(TRIM(data2!$U$36))),FALSE,AND(W$12,IF(AND($G44,$D44="COI"),
IF(AND(teacher_type="R",career_stage="P"),VLOOKUP($BF44,RPI[],COLUMN(RPI[cot3]),FALSE),
IF(AND(teacher_type="R",career_stage="HP"),VLOOKUP($BF44,RHPI[],COLUMN(RHPI[cot3]),FALSE),
IF(AND(teacher_type="TB",career_stage="P"),VLOOKUP($BF44,TBPI[],COLUMN(TBPI[cot3]),FALSE),
IF(AND(teacher_type="TB",career_stage="HP"),VLOOKUP($BF44,TBHPI[],COLUMN(TBHPI[cot3]),FALSE),FALSE)))),
FALSE))),FALSE)</f>
        <v>0</v>
      </c>
      <c r="BL44" s="154" t="b">
        <v>0</v>
      </c>
      <c r="BM44" s="196" t="b" cm="1">
        <f t="array" ref="BM44">IFERROR(IF(OR(LOWER(TRIM(Y$20))=LOWER(TRIM(data2!$U$35)),LOWER(TRIM(Y$20))=LOWER(TRIM(data2!$U$36))),FALSE,AND(Y$12,IF(AND($G44,$D44="COI"),
IF(AND(teacher_type="R",career_stage="P"),VLOOKUP($BF44,RPI[],COLUMN(RPI[cot4]),FALSE),
IF(AND(teacher_type="R",career_stage="HP"),VLOOKUP($BF44,RHPI[],COLUMN(RHPI[cot4]),FALSE),
IF(AND(teacher_type="TB",career_stage="P"),VLOOKUP($BF44,TBPI[],COLUMN(TBPI[cot4]),FALSE),
IF(AND(teacher_type="TB",career_stage="HP"),VLOOKUP($BF44,TBHPI[],COLUMN(TBHPI[cot4]),FALSE),FALSE)))),
FALSE))),FALSE)</f>
        <v>0</v>
      </c>
      <c r="BN44" s="154" t="b">
        <v>0</v>
      </c>
      <c r="BO44" s="150">
        <f t="shared" si="16"/>
        <v>0</v>
      </c>
      <c r="BP44" s="196" t="b">
        <f t="shared" si="17"/>
        <v>0</v>
      </c>
      <c r="BQ44" s="196" t="b">
        <f>IFERROR(IF(OR(NOT(CZ44),LOWER(TRIM(S$20))=LOWER(TRIM(data2!$U$35))),TRUE,IF(AND(CZ44,LOWER(TRIM(S$20))=LOWER(TRIM(data2!$U$36))),FALSE)),FALSE)</f>
        <v>1</v>
      </c>
      <c r="BR44" s="196" t="b">
        <f t="shared" si="18"/>
        <v>0</v>
      </c>
      <c r="BS44" s="196" t="b">
        <f>IFERROR(IF(OR(NOT(DB44),LOWER(TRIM(U$20))=LOWER(TRIM(data2!$U$35))),TRUE,IF(AND(DB44,LOWER(TRIM(U$20))=LOWER(TRIM(data2!$U$36))),FALSE)),FALSE)</f>
        <v>1</v>
      </c>
      <c r="BT44" s="196" t="b">
        <f t="shared" si="19"/>
        <v>0</v>
      </c>
      <c r="BU44" s="196" t="b">
        <f>IFERROR(IF(OR(NOT(DD44),LOWER(TRIM(W$20))=LOWER(TRIM(data2!$U$35))),TRUE,IF(AND(DD44,LOWER(TRIM(W$20))=LOWER(TRIM(data2!$U$36))),FALSE)),FALSE)</f>
        <v>1</v>
      </c>
      <c r="BV44" s="196" t="b">
        <f t="shared" si="20"/>
        <v>0</v>
      </c>
      <c r="BW44" s="196" t="b">
        <f>IFERROR(IF(OR(NOT(DF44),LOWER(TRIM(Y$20))=LOWER(TRIM(data2!$U$35))),TRUE,IF(AND(DF44,LOWER(TRIM(Y$20))=LOWER(TRIM(data2!$U$36))),FALSE)),FALSE)</f>
        <v>1</v>
      </c>
      <c r="BY44" s="154" t="str">
        <f t="shared" si="21"/>
        <v/>
      </c>
      <c r="BZ44" s="154" t="str">
        <f t="shared" si="22"/>
        <v/>
      </c>
      <c r="CA44" s="154" t="str">
        <f t="shared" si="23"/>
        <v/>
      </c>
      <c r="CB44" s="154" t="str">
        <f t="shared" si="24"/>
        <v>CE44:CI44</v>
      </c>
      <c r="CC44" s="154" t="str">
        <f t="shared" si="25"/>
        <v>CK44:CO44</v>
      </c>
      <c r="CD44" s="154" t="str">
        <f t="shared" si="26"/>
        <v>CQ44:CU44</v>
      </c>
      <c r="CE44" s="359" cm="1">
        <f t="array" ref="CE44">IFERROR(IF($BY44&lt;&gt;"",
IF(AND(teacher_type="R",career_stage="P"),
    IF(INDEX(RPS[[Outstanding]:[Poor]],MATCH($BY44,RPS[[helper]:[helper]],0),CE$19)&lt;&gt;"",CE$20,""),
IF(AND(teacher_type="R",career_stage="HP"),
    IF(INDEX(RHPS[[Outstanding]:[Poor]],MATCH($BY44,RHPS[[helper]:[helper]],0),CE$19)&lt;&gt;"",CE$20,""),
IF(AND(teacher_type="TB",career_stage="P"),
    IF(INDEX(TBPS[[Outstanding]:[Poor]],MATCH($BY44,TBPS[[helper]:[helper]],0),CE$19)&lt;&gt;"",CE$20,""),
IF(AND(teacher_type="TB",career_stage="HP"),
    IF(INDEX(TBHPS[[Outstanding]:[Poor]],MATCH($BY44,TBHPS[[helper]:[helper]],0),CE$19)&lt;&gt;"",CE$20,""),
CE$20)))),
CE$20),CE$20)</f>
        <v>5</v>
      </c>
      <c r="CF44" s="359" cm="1">
        <f t="array" ref="CF44">IFERROR(IF($BY44&lt;&gt;"",
IF(AND(teacher_type="R",career_stage="P"),
    IF(INDEX(RPS[[Outstanding]:[Poor]],MATCH($BY44,RPS[[helper]:[helper]],0),CF$19)&lt;&gt;"",CF$20,""),
IF(AND(teacher_type="R",career_stage="HP"),
    IF(INDEX(RHPS[[Outstanding]:[Poor]],MATCH($BY44,RHPS[[helper]:[helper]],0),CF$19)&lt;&gt;"",CF$20,""),
IF(AND(teacher_type="TB",career_stage="P"),
    IF(INDEX(TBPS[[Outstanding]:[Poor]],MATCH($BY44,TBPS[[helper]:[helper]],0),CF$19)&lt;&gt;"",CF$20,""),
IF(AND(teacher_type="TB",career_stage="HP"),
    IF(INDEX(TBHPS[[Outstanding]:[Poor]],MATCH($BY44,TBHPS[[helper]:[helper]],0),CF$19)&lt;&gt;"",CF$20,""),
CF$20)))),
CF$20),CF$20)</f>
        <v>4</v>
      </c>
      <c r="CG44" s="359" cm="1">
        <f t="array" ref="CG44">IFERROR(IF($BY44&lt;&gt;"",
IF(AND(teacher_type="R",career_stage="P"),
    IF(INDEX(RPS[[Outstanding]:[Poor]],MATCH($BY44,RPS[[helper]:[helper]],0),CG$19)&lt;&gt;"",CG$20,""),
IF(AND(teacher_type="R",career_stage="HP"),
    IF(INDEX(RHPS[[Outstanding]:[Poor]],MATCH($BY44,RHPS[[helper]:[helper]],0),CG$19)&lt;&gt;"",CG$20,""),
IF(AND(teacher_type="TB",career_stage="P"),
    IF(INDEX(TBPS[[Outstanding]:[Poor]],MATCH($BY44,TBPS[[helper]:[helper]],0),CG$19)&lt;&gt;"",CG$20,""),
IF(AND(teacher_type="TB",career_stage="HP"),
    IF(INDEX(TBHPS[[Outstanding]:[Poor]],MATCH($BY44,TBHPS[[helper]:[helper]],0),CG$19)&lt;&gt;"",CG$20,""),
CG$20)))),
CG$20),CG$20)</f>
        <v>3</v>
      </c>
      <c r="CH44" s="359" cm="1">
        <f t="array" ref="CH44">IFERROR(IF($BY44&lt;&gt;"",
IF(AND(teacher_type="R",career_stage="P"),
    IF(INDEX(RPS[[Outstanding]:[Poor]],MATCH($BY44,RPS[[helper]:[helper]],0),CH$19)&lt;&gt;"",CH$20,""),
IF(AND(teacher_type="R",career_stage="HP"),
    IF(INDEX(RHPS[[Outstanding]:[Poor]],MATCH($BY44,RHPS[[helper]:[helper]],0),CH$19)&lt;&gt;"",CH$20,""),
IF(AND(teacher_type="TB",career_stage="P"),
    IF(INDEX(TBPS[[Outstanding]:[Poor]],MATCH($BY44,TBPS[[helper]:[helper]],0),CH$19)&lt;&gt;"",CH$20,""),
IF(AND(teacher_type="TB",career_stage="HP"),
    IF(INDEX(TBHPS[[Outstanding]:[Poor]],MATCH($BY44,TBHPS[[helper]:[helper]],0),CH$19)&lt;&gt;"",CH$20,""),
CH$20)))),
CH$20),CH$20)</f>
        <v>2</v>
      </c>
      <c r="CI44" s="359" cm="1">
        <f t="array" ref="CI44">IFERROR(IF($BY44&lt;&gt;"",
IF(AND(teacher_type="R",career_stage="P"),
    IF(INDEX(RPS[[Outstanding]:[Poor]],MATCH($BY44,RPS[[helper]:[helper]],0),CI$19)&lt;&gt;"",CI$20,""),
IF(AND(teacher_type="R",career_stage="HP"),
    IF(INDEX(RHPS[[Outstanding]:[Poor]],MATCH($BY44,RHPS[[helper]:[helper]],0),CI$19)&lt;&gt;"",CI$20,""),
IF(AND(teacher_type="TB",career_stage="P"),
    IF(INDEX(TBPS[[Outstanding]:[Poor]],MATCH($BY44,TBPS[[helper]:[helper]],0),CI$19)&lt;&gt;"",CI$20,""),
IF(AND(teacher_type="TB",career_stage="HP"),
    IF(INDEX(TBHPS[[Outstanding]:[Poor]],MATCH($BY44,TBHPS[[helper]:[helper]],0),CI$19)&lt;&gt;"",CI$20,""),
CI$20)))),
CI$20),CI$20)</f>
        <v>1</v>
      </c>
      <c r="CJ44" s="360">
        <f t="shared" si="27"/>
        <v>5</v>
      </c>
      <c r="CK44" s="359" cm="1">
        <f t="array" ref="CK44">IFERROR(IF($BZ44&lt;&gt;"",
IF(AND(teacher_type="R",career_stage="P"),
    IF(INDEX(RPS[[Outstanding]:[Poor]],MATCH($BZ44,RPS[[helper]:[helper]],0),CK$19)&lt;&gt;"",CK$20,""),
IF(AND(teacher_type="R",career_stage="HP"),
    IF(INDEX(RHPS[[Outstanding]:[Poor]],MATCH($BZ44,RHPS[[helper]:[helper]],0),CK$19)&lt;&gt;"",CK$20,""),
IF(AND(teacher_type="TB",career_stage="P"),
    IF(INDEX(TBPS[[Outstanding]:[Poor]],MATCH($BZ44,TBPS[[helper]:[helper]],0),CK$19)&lt;&gt;"",CK$20,""),
IF(AND(teacher_type="TB",career_stage="HP"),
    IF(INDEX(TBHPS[[Outstanding]:[Poor]],MATCH($BZ44,TBHPS[[helper]:[helper]],0),CK$19)&lt;&gt;"",CK$20,""),
CK$20)))),
CK$20),CK$20)</f>
        <v>5</v>
      </c>
      <c r="CL44" s="359" cm="1">
        <f t="array" ref="CL44">IFERROR(IF($BZ44&lt;&gt;"",
IF(AND(teacher_type="R",career_stage="P"),
    IF(INDEX(RPS[[Outstanding]:[Poor]],MATCH($BZ44,RPS[[helper]:[helper]],0),CL$19)&lt;&gt;"",CL$20,""),
IF(AND(teacher_type="R",career_stage="HP"),
    IF(INDEX(RHPS[[Outstanding]:[Poor]],MATCH($BZ44,RHPS[[helper]:[helper]],0),CL$19)&lt;&gt;"",CL$20,""),
IF(AND(teacher_type="TB",career_stage="P"),
    IF(INDEX(TBPS[[Outstanding]:[Poor]],MATCH($BZ44,TBPS[[helper]:[helper]],0),CL$19)&lt;&gt;"",CL$20,""),
IF(AND(teacher_type="TB",career_stage="HP"),
    IF(INDEX(TBHPS[[Outstanding]:[Poor]],MATCH($BZ44,TBHPS[[helper]:[helper]],0),CL$19)&lt;&gt;"",CL$20,""),
CL$20)))),
CL$20),CL$20)</f>
        <v>4</v>
      </c>
      <c r="CM44" s="359" cm="1">
        <f t="array" ref="CM44">IFERROR(IF($BZ44&lt;&gt;"",
IF(AND(teacher_type="R",career_stage="P"),
    IF(INDEX(RPS[[Outstanding]:[Poor]],MATCH($BZ44,RPS[[helper]:[helper]],0),CM$19)&lt;&gt;"",CM$20,""),
IF(AND(teacher_type="R",career_stage="HP"),
    IF(INDEX(RHPS[[Outstanding]:[Poor]],MATCH($BZ44,RHPS[[helper]:[helper]],0),CM$19)&lt;&gt;"",CM$20,""),
IF(AND(teacher_type="TB",career_stage="P"),
    IF(INDEX(TBPS[[Outstanding]:[Poor]],MATCH($BZ44,TBPS[[helper]:[helper]],0),CM$19)&lt;&gt;"",CM$20,""),
IF(AND(teacher_type="TB",career_stage="HP"),
    IF(INDEX(TBHPS[[Outstanding]:[Poor]],MATCH($BZ44,TBHPS[[helper]:[helper]],0),CM$19)&lt;&gt;"",CM$20,""),
CM$20)))),
CM$20),CM$20)</f>
        <v>3</v>
      </c>
      <c r="CN44" s="359" cm="1">
        <f t="array" ref="CN44">IFERROR(IF($BZ44&lt;&gt;"",
IF(AND(teacher_type="R",career_stage="P"),
    IF(INDEX(RPS[[Outstanding]:[Poor]],MATCH($BZ44,RPS[[helper]:[helper]],0),CN$19)&lt;&gt;"",CN$20,""),
IF(AND(teacher_type="R",career_stage="HP"),
    IF(INDEX(RHPS[[Outstanding]:[Poor]],MATCH($BZ44,RHPS[[helper]:[helper]],0),CN$19)&lt;&gt;"",CN$20,""),
IF(AND(teacher_type="TB",career_stage="P"),
    IF(INDEX(TBPS[[Outstanding]:[Poor]],MATCH($BZ44,TBPS[[helper]:[helper]],0),CN$19)&lt;&gt;"",CN$20,""),
IF(AND(teacher_type="TB",career_stage="HP"),
    IF(INDEX(TBHPS[[Outstanding]:[Poor]],MATCH($BZ44,TBHPS[[helper]:[helper]],0),CN$19)&lt;&gt;"",CN$20,""),
CN$20)))),
CN$20),CN$20)</f>
        <v>2</v>
      </c>
      <c r="CO44" s="359" cm="1">
        <f t="array" ref="CO44">IFERROR(IF($BZ44&lt;&gt;"",
IF(AND(teacher_type="R",career_stage="P"),
    IF(INDEX(RPS[[Outstanding]:[Poor]],MATCH($BZ44,RPS[[helper]:[helper]],0),CO$19)&lt;&gt;"",CO$20,""),
IF(AND(teacher_type="R",career_stage="HP"),
    IF(INDEX(RHPS[[Outstanding]:[Poor]],MATCH($BZ44,RHPS[[helper]:[helper]],0),CO$19)&lt;&gt;"",CO$20,""),
IF(AND(teacher_type="TB",career_stage="P"),
    IF(INDEX(TBPS[[Outstanding]:[Poor]],MATCH($BZ44,TBPS[[helper]:[helper]],0),CO$19)&lt;&gt;"",CO$20,""),
IF(AND(teacher_type="TB",career_stage="HP"),
    IF(INDEX(TBHPS[[Outstanding]:[Poor]],MATCH($BZ44,TBHPS[[helper]:[helper]],0),CO$19)&lt;&gt;"",CO$20,""),
CO$20)))),
CO$20),CO$20)</f>
        <v>1</v>
      </c>
      <c r="CP44" s="360">
        <f t="shared" si="28"/>
        <v>5</v>
      </c>
      <c r="CQ44" s="359" cm="1">
        <f t="array" ref="CQ44">IFERROR(IF($CA44&lt;&gt;"",
IF(AND(teacher_type="R",career_stage="P"),
    IF(INDEX(RPS[[Outstanding]:[Poor]],MATCH($CA44,RPS[[helper]:[helper]],0),CQ$19)&lt;&gt;"",CQ$20,""),
IF(AND(teacher_type="R",career_stage="HP"),
    IF(INDEX(RHPS[[Outstanding]:[Poor]],MATCH($CA44,RHPS[[helper]:[helper]],0),CQ$19)&lt;&gt;"",CQ$20,""),
IF(AND(teacher_type="TB",career_stage="P"),
    IF(INDEX(TBPS[[Outstanding]:[Poor]],MATCH($CA44,TBPS[[helper]:[helper]],0),CQ$19)&lt;&gt;"",CQ$20,""),
IF(AND(teacher_type="TB",career_stage="HP"),
    IF(INDEX(TBHPS[[Outstanding]:[Poor]],MATCH($CA44,TBHPS[[helper]:[helper]],0),CQ$19)&lt;&gt;"",CQ$20,""),
CQ$20)))),
CQ$20),CQ$20)</f>
        <v>5</v>
      </c>
      <c r="CR44" s="359" cm="1">
        <f t="array" ref="CR44">IFERROR(IF($CA44&lt;&gt;"",
IF(AND(teacher_type="R",career_stage="P"),
    IF(INDEX(RPS[[Outstanding]:[Poor]],MATCH($CA44,RPS[[helper]:[helper]],0),CR$19)&lt;&gt;"",CR$20,""),
IF(AND(teacher_type="R",career_stage="HP"),
    IF(INDEX(RHPS[[Outstanding]:[Poor]],MATCH($CA44,RHPS[[helper]:[helper]],0),CR$19)&lt;&gt;"",CR$20,""),
IF(AND(teacher_type="TB",career_stage="P"),
    IF(INDEX(TBPS[[Outstanding]:[Poor]],MATCH($CA44,TBPS[[helper]:[helper]],0),CR$19)&lt;&gt;"",CR$20,""),
IF(AND(teacher_type="TB",career_stage="HP"),
    IF(INDEX(TBHPS[[Outstanding]:[Poor]],MATCH($CA44,TBHPS[[helper]:[helper]],0),CR$19)&lt;&gt;"",CR$20,""),
CR$20)))),
CR$20),CR$20)</f>
        <v>4</v>
      </c>
      <c r="CS44" s="359" cm="1">
        <f t="array" ref="CS44">IFERROR(IF($CA44&lt;&gt;"",
IF(AND(teacher_type="R",career_stage="P"),
    IF(INDEX(RPS[[Outstanding]:[Poor]],MATCH($CA44,RPS[[helper]:[helper]],0),CS$19)&lt;&gt;"",CS$20,""),
IF(AND(teacher_type="R",career_stage="HP"),
    IF(INDEX(RHPS[[Outstanding]:[Poor]],MATCH($CA44,RHPS[[helper]:[helper]],0),CS$19)&lt;&gt;"",CS$20,""),
IF(AND(teacher_type="TB",career_stage="P"),
    IF(INDEX(TBPS[[Outstanding]:[Poor]],MATCH($CA44,TBPS[[helper]:[helper]],0),CS$19)&lt;&gt;"",CS$20,""),
IF(AND(teacher_type="TB",career_stage="HP"),
    IF(INDEX(TBHPS[[Outstanding]:[Poor]],MATCH($CA44,TBHPS[[helper]:[helper]],0),CS$19)&lt;&gt;"",CS$20,""),
CS$20)))),
CS$20),CS$20)</f>
        <v>3</v>
      </c>
      <c r="CT44" s="359" cm="1">
        <f t="array" ref="CT44">IFERROR(IF($CA44&lt;&gt;"",
IF(AND(teacher_type="R",career_stage="P"),
    IF(INDEX(RPS[[Outstanding]:[Poor]],MATCH($CA44,RPS[[helper]:[helper]],0),CT$19)&lt;&gt;"",CT$20,""),
IF(AND(teacher_type="R",career_stage="HP"),
    IF(INDEX(RHPS[[Outstanding]:[Poor]],MATCH($CA44,RHPS[[helper]:[helper]],0),CT$19)&lt;&gt;"",CT$20,""),
IF(AND(teacher_type="TB",career_stage="P"),
    IF(INDEX(TBPS[[Outstanding]:[Poor]],MATCH($CA44,TBPS[[helper]:[helper]],0),CT$19)&lt;&gt;"",CT$20,""),
IF(AND(teacher_type="TB",career_stage="HP"),
    IF(INDEX(TBHPS[[Outstanding]:[Poor]],MATCH($CA44,TBHPS[[helper]:[helper]],0),CT$19)&lt;&gt;"",CT$20,""),
CT$20)))),
CT$20),CT$20)</f>
        <v>2</v>
      </c>
      <c r="CU44" s="359" cm="1">
        <f t="array" ref="CU44">IFERROR(IF($CA44&lt;&gt;"",
IF(AND(teacher_type="R",career_stage="P"),
    IF(INDEX(RPS[[Outstanding]:[Poor]],MATCH($CA44,RPS[[helper]:[helper]],0),CU$19)&lt;&gt;"",CU$20,""),
IF(AND(teacher_type="R",career_stage="HP"),
    IF(INDEX(RHPS[[Outstanding]:[Poor]],MATCH($CA44,RHPS[[helper]:[helper]],0),CU$19)&lt;&gt;"",CU$20,""),
IF(AND(teacher_type="TB",career_stage="P"),
    IF(INDEX(TBPS[[Outstanding]:[Poor]],MATCH($CA44,TBPS[[helper]:[helper]],0),CU$19)&lt;&gt;"",CU$20,""),
IF(AND(teacher_type="TB",career_stage="HP"),
    IF(INDEX(TBHPS[[Outstanding]:[Poor]],MATCH($CA44,TBHPS[[helper]:[helper]],0),CU$19)&lt;&gt;"",CU$20,""),
CU$20)))),
CU$20),CU$20)</f>
        <v>1</v>
      </c>
      <c r="CV44" s="360">
        <f t="shared" si="29"/>
        <v>5</v>
      </c>
      <c r="CY44" s="443" t="b" cm="1">
        <f t="array" ref="CY44">IFERROR(AND(S$12,IF(AND($G44,$D44="COI"),
IF(AND(teacher_type="R",career_stage="P"),VLOOKUP($BF44,RPI[],COLUMN(RPI[cot1]),FALSE),
IF(AND(teacher_type="R",career_stage="HP"),VLOOKUP($BF44,RHPI[],COLUMN(RHPI[cot1]),FALSE),
IF(AND(teacher_type="TB",career_stage="P"),VLOOKUP($BF44,TBPI[],COLUMN(TBPI[cot1]),FALSE),
IF(AND(teacher_type="TB",career_stage="HP"),VLOOKUP($BF44,TBHPI[],COLUMN(TBHPI[cot1]),FALSE),FALSE)))),
FALSE)),FALSE)</f>
        <v>0</v>
      </c>
      <c r="CZ44" s="443" t="b">
        <f t="shared" si="30"/>
        <v>0</v>
      </c>
      <c r="DA44" s="443" t="b" cm="1">
        <f t="array" ref="DA44">IFERROR(AND(U$12,IF(AND($G44,$D44="COI"),
IF(AND(teacher_type="R",career_stage="P"),VLOOKUP($BF44,RPI[],COLUMN(RPI[cot2]),FALSE),
IF(AND(teacher_type="R",career_stage="HP"),VLOOKUP($BF44,RHPI[],COLUMN(RHPI[cot2]),FALSE),
IF(AND(teacher_type="TB",career_stage="P"),VLOOKUP($BF44,TBPI[],COLUMN(TBPI[cot2]),FALSE),
IF(AND(teacher_type="TB",career_stage="HP"),VLOOKUP($BF44,TBHPI[],COLUMN(TBHPI[cot2]),FALSE),FALSE)))),
FALSE)),FALSE)</f>
        <v>0</v>
      </c>
      <c r="DB44" s="443" t="b">
        <f t="shared" si="31"/>
        <v>0</v>
      </c>
      <c r="DC44" s="443" t="b" cm="1">
        <f t="array" ref="DC44">IFERROR(AND(W$12,IF(AND($G44,$D44="COI"),
IF(AND(teacher_type="R",career_stage="P"),VLOOKUP($BF44,RPI[],COLUMN(RPI[cot3]),FALSE),
IF(AND(teacher_type="R",career_stage="HP"),VLOOKUP($BF44,RHPI[],COLUMN(RHPI[cot3]),FALSE),
IF(AND(teacher_type="TB",career_stage="P"),VLOOKUP($BF44,TBPI[],COLUMN(TBPI[cot3]),FALSE),
IF(AND(teacher_type="TB",career_stage="HP"),VLOOKUP($BF44,TBHPI[],COLUMN(TBHPI[cot3]),FALSE),FALSE)))),
FALSE)),FALSE)</f>
        <v>0</v>
      </c>
      <c r="DD44" s="443" t="b">
        <f t="shared" si="32"/>
        <v>0</v>
      </c>
      <c r="DE44" s="443" t="b" cm="1">
        <f t="array" ref="DE44">IFERROR(AND(Y$12,IF(AND($G44,$D44="COI"),
IF(AND(teacher_type="R",career_stage="P"),VLOOKUP($BF44,RPI[],COLUMN(RPI[cot4]),FALSE),
IF(AND(teacher_type="R",career_stage="HP"),VLOOKUP($BF44,RHPI[],COLUMN(RHPI[cot4]),FALSE),
IF(AND(teacher_type="TB",career_stage="P"),VLOOKUP($BF44,TBPI[],COLUMN(TBPI[cot4]),FALSE),
IF(AND(teacher_type="TB",career_stage="HP"),VLOOKUP($BF44,TBHPI[],COLUMN(TBHPI[cot4]),FALSE),FALSE)))),
FALSE)),FALSE)</f>
        <v>0</v>
      </c>
      <c r="DF44" s="443" t="b">
        <f t="shared" si="33"/>
        <v>0</v>
      </c>
      <c r="DG44" s="150">
        <f t="shared" si="34"/>
        <v>0</v>
      </c>
      <c r="DH44" s="154">
        <f>IF(AND(CY44,LOWER(TRIM(S$20))=LOWER(TRIM(data2!$U$35))),1,0) +
IF(AND(DA44,LOWER(TRIM(U$20))=LOWER(TRIM(data2!$U$35))),1,0) +
IF(AND(DC44,LOWER(TRIM(W$20))=LOWER(TRIM(data2!$U$35))),1,0) +
IF(AND(DE44,LOWER(TRIM(Y$20))=LOWER(TRIM(data2!$U$35))),1,0)</f>
        <v>0</v>
      </c>
      <c r="DJ44" s="154">
        <f t="shared" si="35"/>
        <v>0</v>
      </c>
    </row>
    <row r="45" spans="1:114" s="154" customFormat="1" ht="24.95" hidden="1" customHeight="1" x14ac:dyDescent="0.25">
      <c r="A45" s="156"/>
      <c r="B45" s="154">
        <v>24</v>
      </c>
      <c r="C45" s="150" t="str">
        <f>IFERROR(IF(AND(teacher_type="R",career_stage="P"),VLOOKUP(O45,RPI[],COLUMNS(RPI[[Strand]:[admin_selected_coi_ncoi]]),FALSE),IF(AND(teacher_type="R",career_stage="HP"),VLOOKUP(O45,RHPI[],COLUMNS(RHPI[[Strand]:[admin_selected_coi_ncoi]]),FALSE),IF(AND(teacher_type="TB",career_stage="P"),VLOOKUP(O45,TBPI[],COLUMNS(TBPI[[Strand]:[admin_selected_coi_ncoi]]),FALSE),IF(AND(teacher_type="TB",career_stage="HP"),VLOOKUP(O45,TBHPI[],COLUMNS(TBHPI[[Strand]:[admin_selected_coi_ncoi]]),FALSE),"NCOI")))),"NCOI")</f>
        <v>COI</v>
      </c>
      <c r="D45" s="150" t="str">
        <f t="shared" si="10"/>
        <v/>
      </c>
      <c r="E45" s="150">
        <f>IFERROR(IF(AND(teacher_type="R",career_stage="P"),VLOOKUP($O45,RPI[[Strand]:[Domain]],COLUMNS(RPI[[Strand]:[Domain]]),FALSE),IF(AND(teacher_type="R",career_stage="HP"),VLOOKUP($O45,RHPI[[Strand]:[Domain]],COLUMNS(RHPI[[Strand]:[Domain]]),FALSE),IF(AND(teacher_type="TB",career_stage="P"),VLOOKUP($O45,TBPI[[Strand]:[Domain]],COLUMNS(TBPI[[Strand]:[Domain]]),FALSE),IF(AND(teacher_type="TB",career_stage="HP"),VLOOKUP($O45,TBHPI[[Strand]:[Domain]],COLUMNS(TBHPI[[Strand]:[Domain]]),FALSE),"")))),"")</f>
        <v>4</v>
      </c>
      <c r="F45" s="155" t="b">
        <f>AND(COUNTIFS($E$22:$E45,E45,$G$22:$G45,TRUE)=1,$G45)</f>
        <v>0</v>
      </c>
      <c r="G45" s="212" t="b">
        <f>IFERROR(IF(AND(teacher_type="R",career_stage="P"),VLOOKUP($O45,RPI[],COLUMNS(RPI[[Strand]:[Selected]]),FALSE),IF(AND(teacher_type="R",career_stage="HP"),VLOOKUP($O45,RHPI[],COLUMNS(RHPI[[Strand]:[Selected]]),FALSE),IF(AND(teacher_type="TB",career_stage="P"),VLOOKUP($O45,TBPI[],COLUMNS(TBPI[[Strand]:[Selected]]),FALSE),IF(AND(teacher_type="TB",career_stage="HP"),VLOOKUP($O45,TBHPI[],COLUMNS(TBHPI[[Strand]:[Selected]]),FALSE),FALSE)))),FALSE)</f>
        <v>0</v>
      </c>
      <c r="H45" s="156" t="b">
        <f>IFERROR(IF(AND(teacher_type="R",career_stage="P"),AND(COUNTIFS(RPS[Strand],$O45,RPS[QET],H$21)&gt;0,$G45),IF(AND(teacher_type="R",career_stage="HP"),AND(COUNTIFS(RHPS[Strand],$O45,RHPS[QET],H$21)&gt;0,$G45),IF(AND(teacher_type="TB",career_stage="P"),AND(COUNTIFS(TBPS[Strand],$O45,TBPS[QET],H$21)&gt;0,$G45),IF(AND(teacher_type="TB",career_stage="HP"),AND(COUNTIFS(TBHPS[Strand],$O45,TBHPS[QET],H$21)&gt;0,$G45),FALSE)))),FALSE)</f>
        <v>0</v>
      </c>
      <c r="I45" s="156" t="b">
        <f t="shared" si="11"/>
        <v>0</v>
      </c>
      <c r="J45" s="156" t="b">
        <f>IFERROR(IF(AND(teacher_type="R",career_stage="P"),AND(COUNTIFS(RPS[Strand],$O45,RPS[QET],J$21)&gt;0,$G45),IF(AND(teacher_type="R",career_stage="HP"),AND(COUNTIFS(RHPS[Strand],$O45,RHPS[QET],J$21)&gt;0,$G45),IF(AND(teacher_type="TB",career_stage="P"),AND(COUNTIFS(TBPS[Strand],$O45,TBPS[QET],J$21)&gt;0,$G45),IF(AND(teacher_type="TB",career_stage="HP"),AND(COUNTIFS(TBHPS[Strand],$O45,TBHPS[QET],J$21)&gt;0,$G45),FALSE)))),FALSE)</f>
        <v>0</v>
      </c>
      <c r="K45" s="156" t="b">
        <f>IFERROR(IF(AND(teacher_type="R",career_stage="P"),AND(COUNTIFS(RPS[Strand],$O45,RPS[QET],K$21)&gt;0,$G45),IF(AND(teacher_type="R",career_stage="HP"),AND(COUNTIFS(RHPS[Strand],$O45,RHPS[QET],K$21)&gt;0,$G45),IF(AND(teacher_type="TB",career_stage="P"),AND(COUNTIFS(TBPS[Strand],$O45,TBPS[QET],K$21)&gt;0,$G45),IF(AND(teacher_type="TB",career_stage="HP"),AND(COUNTIFS(TBHPS[Strand],$O45,TBHPS[QET],K$21)&gt;0,$G45),FALSE)))),FALSE)</f>
        <v>0</v>
      </c>
      <c r="L45" s="156" t="b">
        <f t="shared" si="12"/>
        <v>0</v>
      </c>
      <c r="M45" s="165" t="str">
        <f t="shared" si="13"/>
        <v/>
      </c>
      <c r="N45" s="48" t="str">
        <f>IF($G45,COUNTIF($G$22:$G45,TRUE),"")</f>
        <v/>
      </c>
      <c r="O45" s="48" t="str" cm="1">
        <f t="array" ref="O45">IFERROR(IF(AND(teacher_type="R",career_stage="P"),INDEX(RPI[Strand],$B45),IF(AND(teacher_type="R",career_stage="HP"),INDEX(RHPI[Strand],$B45),IF(AND(teacher_type="TB",career_stage="P"),INDEX(TBPI[Strand],$B45),IF(AND(teacher_type="TB",career_stage="HP"),INDEX(TBHPI[Strand],$B45),"")))),"")</f>
        <v>5.1.2</v>
      </c>
      <c r="P45" s="166" t="str">
        <f>$C$45</f>
        <v>COI</v>
      </c>
      <c r="Q45" s="167">
        <f>IFERROR(IF(AND(teacher_type="R",career_stage="P"),VLOOKUP(O45,RPI[],COLUMNS(RPI[[Strand]:[Weight]]),FALSE), IF(AND(teacher_type="R",career_stage="HP"),VLOOKUP(O45,RHPI[],COLUMNS(RHPI[[Strand]:[Weight]]),FALSE), IF(AND(teacher_type="TB",career_stage="P"),VLOOKUP(O45,TBPI[],COLUMNS(TBPI[[Strand]:[Weight]]),FALSE), IF(AND(teacher_type="TB",career_stage="HP"),VLOOKUP(O45,TBHPI[],COLUMNS(TBHPI[[Strand]:[Weight]]),FALSE),0)))),0)</f>
        <v>0</v>
      </c>
      <c r="R45" s="168">
        <f>COUNTIFS($D$22:D45,"COI",$G$22:G45,TRUE)</f>
        <v>8</v>
      </c>
      <c r="S45" s="483"/>
      <c r="T45" s="169" t="str">
        <f>IFERROR(IF(LOWER(TRIM(S$20))=LOWER(TRIM(data2!$U$35)),"",IF(AND($G45,$D45="COI",S$12,CZ45),IF(OR(LOWER(TRIM(S$20))=LOWER(TRIM(data2!$U$36)),ISBLANK(S45)),1,IF(career_stage="P",VLOOKUP(S45,P_COT_vlookup,2,FALSE),IF(career_stage="HP",VLOOKUP(S45,HP_COT_vlookup,2,FALSE),""))),"")),"")</f>
        <v/>
      </c>
      <c r="U45" s="489"/>
      <c r="V45" s="170" t="str">
        <f>IFERROR(IF(LOWER(TRIM(U$20))=LOWER(TRIM(data2!$U$35)),"",IF(AND($G45,$D45="COI",U$12,DB45),IF(OR(LOWER(TRIM(U$20))=LOWER(TRIM(data2!$U$36)),ISBLANK(U45)),1,IF(career_stage="P",VLOOKUP(U45,P_COT_vlookup,2,FALSE),IF(career_stage="HP",VLOOKUP(U45,HP_COT_vlookup,2,FALSE),""))),"")),"")</f>
        <v/>
      </c>
      <c r="W45" s="483"/>
      <c r="X45" s="169" t="str">
        <f>IFERROR(IF(LOWER(TRIM(W$20))=LOWER(TRIM(data2!$U$35)),"",IF(AND($G45,$D45="COI",W$12,DD45),IF(OR(LOWER(TRIM(W$20))=LOWER(TRIM(data2!$U$36)),ISBLANK(W45)),1,IF(career_stage="P",VLOOKUP(W45,P_COT_vlookup,2,FALSE),IF(career_stage="HP",VLOOKUP(W45,HP_COT_vlookup,2,FALSE),""))),"")),"")</f>
        <v/>
      </c>
      <c r="Y45" s="489"/>
      <c r="Z45" s="170" t="str">
        <f>IFERROR(IF(LOWER(TRIM(Y$20))=LOWER(TRIM(data2!$U$35)),"",IF(AND($G45,$D45="COI",Y$12,DF45),IF(OR(LOWER(TRIM(Y$20))=LOWER(TRIM(data2!$U$36)),ISBLANK(Y45)),1,IF(career_stage="P",VLOOKUP(Y45,P_COT_vlookup,2,FALSE),IF(career_stage="HP",VLOOKUP(Y45,HP_COT_vlookup,2,FALSE),""))),"")),"")</f>
        <v/>
      </c>
      <c r="AA45" s="171">
        <f t="shared" si="14"/>
        <v>0</v>
      </c>
      <c r="AB45" s="471"/>
      <c r="AC45" s="473"/>
      <c r="AD45" s="473"/>
      <c r="AE45" s="49">
        <f t="shared" si="2"/>
        <v>0</v>
      </c>
      <c r="AF45" s="49">
        <f t="shared" si="3"/>
        <v>0</v>
      </c>
      <c r="AG45" s="172" t="str">
        <f t="shared" si="4"/>
        <v>Poor</v>
      </c>
      <c r="AI45" s="196" t="b">
        <f t="shared" si="5"/>
        <v>1</v>
      </c>
      <c r="AJ45" s="154" t="b">
        <v>1</v>
      </c>
      <c r="AK45" s="154" t="b">
        <v>1</v>
      </c>
      <c r="AL45" s="196" t="b">
        <f t="shared" si="15"/>
        <v>1</v>
      </c>
      <c r="AM45" s="154" t="b">
        <v>1</v>
      </c>
      <c r="AN45" s="196" t="b">
        <f t="shared" si="15"/>
        <v>1</v>
      </c>
      <c r="AO45" s="154" t="b">
        <v>1</v>
      </c>
      <c r="AP45" s="196" t="b">
        <f t="shared" si="15"/>
        <v>1</v>
      </c>
      <c r="AQ45" s="154" t="b">
        <v>1</v>
      </c>
      <c r="AR45" s="196" t="b">
        <f t="shared" si="15"/>
        <v>1</v>
      </c>
      <c r="AS45" s="154" t="b">
        <v>1</v>
      </c>
      <c r="AT45" s="154" t="b">
        <v>1</v>
      </c>
      <c r="AU45" s="196" t="b">
        <f t="shared" si="6"/>
        <v>1</v>
      </c>
      <c r="AV45" s="196" t="b">
        <f t="shared" si="7"/>
        <v>1</v>
      </c>
      <c r="AW45" s="196" t="b">
        <f t="shared" si="8"/>
        <v>1</v>
      </c>
      <c r="AX45" s="47" t="b">
        <v>1</v>
      </c>
      <c r="AY45" s="47" t="b">
        <v>1</v>
      </c>
      <c r="AZ45" s="47" t="b">
        <v>1</v>
      </c>
      <c r="BF45" s="154" t="str">
        <f t="shared" si="9"/>
        <v>5.1.2</v>
      </c>
      <c r="BG45" s="196" t="b" cm="1">
        <f t="array" ref="BG45">IFERROR(IF(OR(LOWER(TRIM(S$20))=LOWER(TRIM(data2!$U$35)),LOWER(TRIM(S$20))=LOWER(TRIM(data2!$U$36))),FALSE,AND(S$12,IF(AND($G45,$D45="COI"),
IF(AND(teacher_type="R",career_stage="P"),VLOOKUP($BF45,RPI[],COLUMN(RPI[cot1]),FALSE),
IF(AND(teacher_type="R",career_stage="HP"),VLOOKUP($BF45,RHPI[],COLUMN(RHPI[cot1]),FALSE),
IF(AND(teacher_type="TB",career_stage="P"),VLOOKUP($BF45,TBPI[],COLUMN(TBPI[cot1]),FALSE),
IF(AND(teacher_type="TB",career_stage="HP"),VLOOKUP($BF45,TBHPI[],COLUMN(TBHPI[cot1]),FALSE),FALSE)))),
FALSE))),FALSE)</f>
        <v>0</v>
      </c>
      <c r="BH45" s="154" t="b">
        <v>0</v>
      </c>
      <c r="BI45" s="196" t="b" cm="1">
        <f t="array" ref="BI45">IFERROR(IF(OR(LOWER(TRIM(U$20))=LOWER(TRIM(data2!$U$35)),LOWER(TRIM(U$20))=LOWER(TRIM(data2!$U$36))),FALSE,AND(U$12,IF(AND($G45,$D45="COI"),
IF(AND(teacher_type="R",career_stage="P"),VLOOKUP($BF45,RPI[],COLUMN(RPI[cot2]),FALSE),
IF(AND(teacher_type="R",career_stage="HP"),VLOOKUP($BF45,RHPI[],COLUMN(RHPI[cot2]),FALSE),
IF(AND(teacher_type="TB",career_stage="P"),VLOOKUP($BF45,TBPI[],COLUMN(TBPI[cot2]),FALSE),
IF(AND(teacher_type="TB",career_stage="HP"),VLOOKUP($BF45,TBHPI[],COLUMN(TBHPI[cot2]),FALSE),FALSE)))),
FALSE))),FALSE)</f>
        <v>0</v>
      </c>
      <c r="BJ45" s="154" t="b">
        <v>0</v>
      </c>
      <c r="BK45" s="196" t="b" cm="1">
        <f t="array" ref="BK45">IFERROR(IF(OR(LOWER(TRIM(W$20))=LOWER(TRIM(data2!$U$35)),LOWER(TRIM(W$20))=LOWER(TRIM(data2!$U$36))),FALSE,AND(W$12,IF(AND($G45,$D45="COI"),
IF(AND(teacher_type="R",career_stage="P"),VLOOKUP($BF45,RPI[],COLUMN(RPI[cot3]),FALSE),
IF(AND(teacher_type="R",career_stage="HP"),VLOOKUP($BF45,RHPI[],COLUMN(RHPI[cot3]),FALSE),
IF(AND(teacher_type="TB",career_stage="P"),VLOOKUP($BF45,TBPI[],COLUMN(TBPI[cot3]),FALSE),
IF(AND(teacher_type="TB",career_stage="HP"),VLOOKUP($BF45,TBHPI[],COLUMN(TBHPI[cot3]),FALSE),FALSE)))),
FALSE))),FALSE)</f>
        <v>0</v>
      </c>
      <c r="BL45" s="154" t="b">
        <v>0</v>
      </c>
      <c r="BM45" s="196" t="b" cm="1">
        <f t="array" ref="BM45">IFERROR(IF(OR(LOWER(TRIM(Y$20))=LOWER(TRIM(data2!$U$35)),LOWER(TRIM(Y$20))=LOWER(TRIM(data2!$U$36))),FALSE,AND(Y$12,IF(AND($G45,$D45="COI"),
IF(AND(teacher_type="R",career_stage="P"),VLOOKUP($BF45,RPI[],COLUMN(RPI[cot4]),FALSE),
IF(AND(teacher_type="R",career_stage="HP"),VLOOKUP($BF45,RHPI[],COLUMN(RHPI[cot4]),FALSE),
IF(AND(teacher_type="TB",career_stage="P"),VLOOKUP($BF45,TBPI[],COLUMN(TBPI[cot4]),FALSE),
IF(AND(teacher_type="TB",career_stage="HP"),VLOOKUP($BF45,TBHPI[],COLUMN(TBHPI[cot4]),FALSE),FALSE)))),
FALSE))),FALSE)</f>
        <v>0</v>
      </c>
      <c r="BN45" s="154" t="b">
        <v>0</v>
      </c>
      <c r="BO45" s="150">
        <f t="shared" si="16"/>
        <v>0</v>
      </c>
      <c r="BP45" s="196" t="b">
        <f t="shared" si="17"/>
        <v>0</v>
      </c>
      <c r="BQ45" s="196" t="b">
        <f>IFERROR(IF(OR(NOT(CZ45),LOWER(TRIM(S$20))=LOWER(TRIM(data2!$U$35))),TRUE,IF(AND(CZ45,LOWER(TRIM(S$20))=LOWER(TRIM(data2!$U$36))),FALSE)),FALSE)</f>
        <v>1</v>
      </c>
      <c r="BR45" s="196" t="b">
        <f t="shared" si="18"/>
        <v>0</v>
      </c>
      <c r="BS45" s="196" t="b">
        <f>IFERROR(IF(OR(NOT(DB45),LOWER(TRIM(U$20))=LOWER(TRIM(data2!$U$35))),TRUE,IF(AND(DB45,LOWER(TRIM(U$20))=LOWER(TRIM(data2!$U$36))),FALSE)),FALSE)</f>
        <v>1</v>
      </c>
      <c r="BT45" s="196" t="b">
        <f t="shared" si="19"/>
        <v>0</v>
      </c>
      <c r="BU45" s="196" t="b">
        <f>IFERROR(IF(OR(NOT(DD45),LOWER(TRIM(W$20))=LOWER(TRIM(data2!$U$35))),TRUE,IF(AND(DD45,LOWER(TRIM(W$20))=LOWER(TRIM(data2!$U$36))),FALSE)),FALSE)</f>
        <v>1</v>
      </c>
      <c r="BV45" s="196" t="b">
        <f t="shared" si="20"/>
        <v>0</v>
      </c>
      <c r="BW45" s="196" t="b">
        <f>IFERROR(IF(OR(NOT(DF45),LOWER(TRIM(Y$20))=LOWER(TRIM(data2!$U$35))),TRUE,IF(AND(DF45,LOWER(TRIM(Y$20))=LOWER(TRIM(data2!$U$36))),FALSE)),FALSE)</f>
        <v>1</v>
      </c>
      <c r="BY45" s="154" t="str">
        <f t="shared" si="21"/>
        <v/>
      </c>
      <c r="BZ45" s="154" t="str">
        <f t="shared" si="22"/>
        <v/>
      </c>
      <c r="CA45" s="154" t="str">
        <f t="shared" si="23"/>
        <v/>
      </c>
      <c r="CB45" s="154" t="str">
        <f t="shared" si="24"/>
        <v>CE45:CI45</v>
      </c>
      <c r="CC45" s="154" t="str">
        <f t="shared" si="25"/>
        <v>CK45:CO45</v>
      </c>
      <c r="CD45" s="154" t="str">
        <f t="shared" si="26"/>
        <v>CQ45:CU45</v>
      </c>
      <c r="CE45" s="359" cm="1">
        <f t="array" ref="CE45">IFERROR(IF($BY45&lt;&gt;"",
IF(AND(teacher_type="R",career_stage="P"),
    IF(INDEX(RPS[[Outstanding]:[Poor]],MATCH($BY45,RPS[[helper]:[helper]],0),CE$19)&lt;&gt;"",CE$20,""),
IF(AND(teacher_type="R",career_stage="HP"),
    IF(INDEX(RHPS[[Outstanding]:[Poor]],MATCH($BY45,RHPS[[helper]:[helper]],0),CE$19)&lt;&gt;"",CE$20,""),
IF(AND(teacher_type="TB",career_stage="P"),
    IF(INDEX(TBPS[[Outstanding]:[Poor]],MATCH($BY45,TBPS[[helper]:[helper]],0),CE$19)&lt;&gt;"",CE$20,""),
IF(AND(teacher_type="TB",career_stage="HP"),
    IF(INDEX(TBHPS[[Outstanding]:[Poor]],MATCH($BY45,TBHPS[[helper]:[helper]],0),CE$19)&lt;&gt;"",CE$20,""),
CE$20)))),
CE$20),CE$20)</f>
        <v>5</v>
      </c>
      <c r="CF45" s="359" cm="1">
        <f t="array" ref="CF45">IFERROR(IF($BY45&lt;&gt;"",
IF(AND(teacher_type="R",career_stage="P"),
    IF(INDEX(RPS[[Outstanding]:[Poor]],MATCH($BY45,RPS[[helper]:[helper]],0),CF$19)&lt;&gt;"",CF$20,""),
IF(AND(teacher_type="R",career_stage="HP"),
    IF(INDEX(RHPS[[Outstanding]:[Poor]],MATCH($BY45,RHPS[[helper]:[helper]],0),CF$19)&lt;&gt;"",CF$20,""),
IF(AND(teacher_type="TB",career_stage="P"),
    IF(INDEX(TBPS[[Outstanding]:[Poor]],MATCH($BY45,TBPS[[helper]:[helper]],0),CF$19)&lt;&gt;"",CF$20,""),
IF(AND(teacher_type="TB",career_stage="HP"),
    IF(INDEX(TBHPS[[Outstanding]:[Poor]],MATCH($BY45,TBHPS[[helper]:[helper]],0),CF$19)&lt;&gt;"",CF$20,""),
CF$20)))),
CF$20),CF$20)</f>
        <v>4</v>
      </c>
      <c r="CG45" s="359" cm="1">
        <f t="array" ref="CG45">IFERROR(IF($BY45&lt;&gt;"",
IF(AND(teacher_type="R",career_stage="P"),
    IF(INDEX(RPS[[Outstanding]:[Poor]],MATCH($BY45,RPS[[helper]:[helper]],0),CG$19)&lt;&gt;"",CG$20,""),
IF(AND(teacher_type="R",career_stage="HP"),
    IF(INDEX(RHPS[[Outstanding]:[Poor]],MATCH($BY45,RHPS[[helper]:[helper]],0),CG$19)&lt;&gt;"",CG$20,""),
IF(AND(teacher_type="TB",career_stage="P"),
    IF(INDEX(TBPS[[Outstanding]:[Poor]],MATCH($BY45,TBPS[[helper]:[helper]],0),CG$19)&lt;&gt;"",CG$20,""),
IF(AND(teacher_type="TB",career_stage="HP"),
    IF(INDEX(TBHPS[[Outstanding]:[Poor]],MATCH($BY45,TBHPS[[helper]:[helper]],0),CG$19)&lt;&gt;"",CG$20,""),
CG$20)))),
CG$20),CG$20)</f>
        <v>3</v>
      </c>
      <c r="CH45" s="359" cm="1">
        <f t="array" ref="CH45">IFERROR(IF($BY45&lt;&gt;"",
IF(AND(teacher_type="R",career_stage="P"),
    IF(INDEX(RPS[[Outstanding]:[Poor]],MATCH($BY45,RPS[[helper]:[helper]],0),CH$19)&lt;&gt;"",CH$20,""),
IF(AND(teacher_type="R",career_stage="HP"),
    IF(INDEX(RHPS[[Outstanding]:[Poor]],MATCH($BY45,RHPS[[helper]:[helper]],0),CH$19)&lt;&gt;"",CH$20,""),
IF(AND(teacher_type="TB",career_stage="P"),
    IF(INDEX(TBPS[[Outstanding]:[Poor]],MATCH($BY45,TBPS[[helper]:[helper]],0),CH$19)&lt;&gt;"",CH$20,""),
IF(AND(teacher_type="TB",career_stage="HP"),
    IF(INDEX(TBHPS[[Outstanding]:[Poor]],MATCH($BY45,TBHPS[[helper]:[helper]],0),CH$19)&lt;&gt;"",CH$20,""),
CH$20)))),
CH$20),CH$20)</f>
        <v>2</v>
      </c>
      <c r="CI45" s="359" cm="1">
        <f t="array" ref="CI45">IFERROR(IF($BY45&lt;&gt;"",
IF(AND(teacher_type="R",career_stage="P"),
    IF(INDEX(RPS[[Outstanding]:[Poor]],MATCH($BY45,RPS[[helper]:[helper]],0),CI$19)&lt;&gt;"",CI$20,""),
IF(AND(teacher_type="R",career_stage="HP"),
    IF(INDEX(RHPS[[Outstanding]:[Poor]],MATCH($BY45,RHPS[[helper]:[helper]],0),CI$19)&lt;&gt;"",CI$20,""),
IF(AND(teacher_type="TB",career_stage="P"),
    IF(INDEX(TBPS[[Outstanding]:[Poor]],MATCH($BY45,TBPS[[helper]:[helper]],0),CI$19)&lt;&gt;"",CI$20,""),
IF(AND(teacher_type="TB",career_stage="HP"),
    IF(INDEX(TBHPS[[Outstanding]:[Poor]],MATCH($BY45,TBHPS[[helper]:[helper]],0),CI$19)&lt;&gt;"",CI$20,""),
CI$20)))),
CI$20),CI$20)</f>
        <v>1</v>
      </c>
      <c r="CJ45" s="360">
        <f t="shared" si="27"/>
        <v>5</v>
      </c>
      <c r="CK45" s="359" cm="1">
        <f t="array" ref="CK45">IFERROR(IF($BZ45&lt;&gt;"",
IF(AND(teacher_type="R",career_stage="P"),
    IF(INDEX(RPS[[Outstanding]:[Poor]],MATCH($BZ45,RPS[[helper]:[helper]],0),CK$19)&lt;&gt;"",CK$20,""),
IF(AND(teacher_type="R",career_stage="HP"),
    IF(INDEX(RHPS[[Outstanding]:[Poor]],MATCH($BZ45,RHPS[[helper]:[helper]],0),CK$19)&lt;&gt;"",CK$20,""),
IF(AND(teacher_type="TB",career_stage="P"),
    IF(INDEX(TBPS[[Outstanding]:[Poor]],MATCH($BZ45,TBPS[[helper]:[helper]],0),CK$19)&lt;&gt;"",CK$20,""),
IF(AND(teacher_type="TB",career_stage="HP"),
    IF(INDEX(TBHPS[[Outstanding]:[Poor]],MATCH($BZ45,TBHPS[[helper]:[helper]],0),CK$19)&lt;&gt;"",CK$20,""),
CK$20)))),
CK$20),CK$20)</f>
        <v>5</v>
      </c>
      <c r="CL45" s="359" cm="1">
        <f t="array" ref="CL45">IFERROR(IF($BZ45&lt;&gt;"",
IF(AND(teacher_type="R",career_stage="P"),
    IF(INDEX(RPS[[Outstanding]:[Poor]],MATCH($BZ45,RPS[[helper]:[helper]],0),CL$19)&lt;&gt;"",CL$20,""),
IF(AND(teacher_type="R",career_stage="HP"),
    IF(INDEX(RHPS[[Outstanding]:[Poor]],MATCH($BZ45,RHPS[[helper]:[helper]],0),CL$19)&lt;&gt;"",CL$20,""),
IF(AND(teacher_type="TB",career_stage="P"),
    IF(INDEX(TBPS[[Outstanding]:[Poor]],MATCH($BZ45,TBPS[[helper]:[helper]],0),CL$19)&lt;&gt;"",CL$20,""),
IF(AND(teacher_type="TB",career_stage="HP"),
    IF(INDEX(TBHPS[[Outstanding]:[Poor]],MATCH($BZ45,TBHPS[[helper]:[helper]],0),CL$19)&lt;&gt;"",CL$20,""),
CL$20)))),
CL$20),CL$20)</f>
        <v>4</v>
      </c>
      <c r="CM45" s="359" cm="1">
        <f t="array" ref="CM45">IFERROR(IF($BZ45&lt;&gt;"",
IF(AND(teacher_type="R",career_stage="P"),
    IF(INDEX(RPS[[Outstanding]:[Poor]],MATCH($BZ45,RPS[[helper]:[helper]],0),CM$19)&lt;&gt;"",CM$20,""),
IF(AND(teacher_type="R",career_stage="HP"),
    IF(INDEX(RHPS[[Outstanding]:[Poor]],MATCH($BZ45,RHPS[[helper]:[helper]],0),CM$19)&lt;&gt;"",CM$20,""),
IF(AND(teacher_type="TB",career_stage="P"),
    IF(INDEX(TBPS[[Outstanding]:[Poor]],MATCH($BZ45,TBPS[[helper]:[helper]],0),CM$19)&lt;&gt;"",CM$20,""),
IF(AND(teacher_type="TB",career_stage="HP"),
    IF(INDEX(TBHPS[[Outstanding]:[Poor]],MATCH($BZ45,TBHPS[[helper]:[helper]],0),CM$19)&lt;&gt;"",CM$20,""),
CM$20)))),
CM$20),CM$20)</f>
        <v>3</v>
      </c>
      <c r="CN45" s="359" cm="1">
        <f t="array" ref="CN45">IFERROR(IF($BZ45&lt;&gt;"",
IF(AND(teacher_type="R",career_stage="P"),
    IF(INDEX(RPS[[Outstanding]:[Poor]],MATCH($BZ45,RPS[[helper]:[helper]],0),CN$19)&lt;&gt;"",CN$20,""),
IF(AND(teacher_type="R",career_stage="HP"),
    IF(INDEX(RHPS[[Outstanding]:[Poor]],MATCH($BZ45,RHPS[[helper]:[helper]],0),CN$19)&lt;&gt;"",CN$20,""),
IF(AND(teacher_type="TB",career_stage="P"),
    IF(INDEX(TBPS[[Outstanding]:[Poor]],MATCH($BZ45,TBPS[[helper]:[helper]],0),CN$19)&lt;&gt;"",CN$20,""),
IF(AND(teacher_type="TB",career_stage="HP"),
    IF(INDEX(TBHPS[[Outstanding]:[Poor]],MATCH($BZ45,TBHPS[[helper]:[helper]],0),CN$19)&lt;&gt;"",CN$20,""),
CN$20)))),
CN$20),CN$20)</f>
        <v>2</v>
      </c>
      <c r="CO45" s="359" cm="1">
        <f t="array" ref="CO45">IFERROR(IF($BZ45&lt;&gt;"",
IF(AND(teacher_type="R",career_stage="P"),
    IF(INDEX(RPS[[Outstanding]:[Poor]],MATCH($BZ45,RPS[[helper]:[helper]],0),CO$19)&lt;&gt;"",CO$20,""),
IF(AND(teacher_type="R",career_stage="HP"),
    IF(INDEX(RHPS[[Outstanding]:[Poor]],MATCH($BZ45,RHPS[[helper]:[helper]],0),CO$19)&lt;&gt;"",CO$20,""),
IF(AND(teacher_type="TB",career_stage="P"),
    IF(INDEX(TBPS[[Outstanding]:[Poor]],MATCH($BZ45,TBPS[[helper]:[helper]],0),CO$19)&lt;&gt;"",CO$20,""),
IF(AND(teacher_type="TB",career_stage="HP"),
    IF(INDEX(TBHPS[[Outstanding]:[Poor]],MATCH($BZ45,TBHPS[[helper]:[helper]],0),CO$19)&lt;&gt;"",CO$20,""),
CO$20)))),
CO$20),CO$20)</f>
        <v>1</v>
      </c>
      <c r="CP45" s="360">
        <f t="shared" si="28"/>
        <v>5</v>
      </c>
      <c r="CQ45" s="359" cm="1">
        <f t="array" ref="CQ45">IFERROR(IF($CA45&lt;&gt;"",
IF(AND(teacher_type="R",career_stage="P"),
    IF(INDEX(RPS[[Outstanding]:[Poor]],MATCH($CA45,RPS[[helper]:[helper]],0),CQ$19)&lt;&gt;"",CQ$20,""),
IF(AND(teacher_type="R",career_stage="HP"),
    IF(INDEX(RHPS[[Outstanding]:[Poor]],MATCH($CA45,RHPS[[helper]:[helper]],0),CQ$19)&lt;&gt;"",CQ$20,""),
IF(AND(teacher_type="TB",career_stage="P"),
    IF(INDEX(TBPS[[Outstanding]:[Poor]],MATCH($CA45,TBPS[[helper]:[helper]],0),CQ$19)&lt;&gt;"",CQ$20,""),
IF(AND(teacher_type="TB",career_stage="HP"),
    IF(INDEX(TBHPS[[Outstanding]:[Poor]],MATCH($CA45,TBHPS[[helper]:[helper]],0),CQ$19)&lt;&gt;"",CQ$20,""),
CQ$20)))),
CQ$20),CQ$20)</f>
        <v>5</v>
      </c>
      <c r="CR45" s="359" cm="1">
        <f t="array" ref="CR45">IFERROR(IF($CA45&lt;&gt;"",
IF(AND(teacher_type="R",career_stage="P"),
    IF(INDEX(RPS[[Outstanding]:[Poor]],MATCH($CA45,RPS[[helper]:[helper]],0),CR$19)&lt;&gt;"",CR$20,""),
IF(AND(teacher_type="R",career_stage="HP"),
    IF(INDEX(RHPS[[Outstanding]:[Poor]],MATCH($CA45,RHPS[[helper]:[helper]],0),CR$19)&lt;&gt;"",CR$20,""),
IF(AND(teacher_type="TB",career_stage="P"),
    IF(INDEX(TBPS[[Outstanding]:[Poor]],MATCH($CA45,TBPS[[helper]:[helper]],0),CR$19)&lt;&gt;"",CR$20,""),
IF(AND(teacher_type="TB",career_stage="HP"),
    IF(INDEX(TBHPS[[Outstanding]:[Poor]],MATCH($CA45,TBHPS[[helper]:[helper]],0),CR$19)&lt;&gt;"",CR$20,""),
CR$20)))),
CR$20),CR$20)</f>
        <v>4</v>
      </c>
      <c r="CS45" s="359" cm="1">
        <f t="array" ref="CS45">IFERROR(IF($CA45&lt;&gt;"",
IF(AND(teacher_type="R",career_stage="P"),
    IF(INDEX(RPS[[Outstanding]:[Poor]],MATCH($CA45,RPS[[helper]:[helper]],0),CS$19)&lt;&gt;"",CS$20,""),
IF(AND(teacher_type="R",career_stage="HP"),
    IF(INDEX(RHPS[[Outstanding]:[Poor]],MATCH($CA45,RHPS[[helper]:[helper]],0),CS$19)&lt;&gt;"",CS$20,""),
IF(AND(teacher_type="TB",career_stage="P"),
    IF(INDEX(TBPS[[Outstanding]:[Poor]],MATCH($CA45,TBPS[[helper]:[helper]],0),CS$19)&lt;&gt;"",CS$20,""),
IF(AND(teacher_type="TB",career_stage="HP"),
    IF(INDEX(TBHPS[[Outstanding]:[Poor]],MATCH($CA45,TBHPS[[helper]:[helper]],0),CS$19)&lt;&gt;"",CS$20,""),
CS$20)))),
CS$20),CS$20)</f>
        <v>3</v>
      </c>
      <c r="CT45" s="359" cm="1">
        <f t="array" ref="CT45">IFERROR(IF($CA45&lt;&gt;"",
IF(AND(teacher_type="R",career_stage="P"),
    IF(INDEX(RPS[[Outstanding]:[Poor]],MATCH($CA45,RPS[[helper]:[helper]],0),CT$19)&lt;&gt;"",CT$20,""),
IF(AND(teacher_type="R",career_stage="HP"),
    IF(INDEX(RHPS[[Outstanding]:[Poor]],MATCH($CA45,RHPS[[helper]:[helper]],0),CT$19)&lt;&gt;"",CT$20,""),
IF(AND(teacher_type="TB",career_stage="P"),
    IF(INDEX(TBPS[[Outstanding]:[Poor]],MATCH($CA45,TBPS[[helper]:[helper]],0),CT$19)&lt;&gt;"",CT$20,""),
IF(AND(teacher_type="TB",career_stage="HP"),
    IF(INDEX(TBHPS[[Outstanding]:[Poor]],MATCH($CA45,TBHPS[[helper]:[helper]],0),CT$19)&lt;&gt;"",CT$20,""),
CT$20)))),
CT$20),CT$20)</f>
        <v>2</v>
      </c>
      <c r="CU45" s="359" cm="1">
        <f t="array" ref="CU45">IFERROR(IF($CA45&lt;&gt;"",
IF(AND(teacher_type="R",career_stage="P"),
    IF(INDEX(RPS[[Outstanding]:[Poor]],MATCH($CA45,RPS[[helper]:[helper]],0),CU$19)&lt;&gt;"",CU$20,""),
IF(AND(teacher_type="R",career_stage="HP"),
    IF(INDEX(RHPS[[Outstanding]:[Poor]],MATCH($CA45,RHPS[[helper]:[helper]],0),CU$19)&lt;&gt;"",CU$20,""),
IF(AND(teacher_type="TB",career_stage="P"),
    IF(INDEX(TBPS[[Outstanding]:[Poor]],MATCH($CA45,TBPS[[helper]:[helper]],0),CU$19)&lt;&gt;"",CU$20,""),
IF(AND(teacher_type="TB",career_stage="HP"),
    IF(INDEX(TBHPS[[Outstanding]:[Poor]],MATCH($CA45,TBHPS[[helper]:[helper]],0),CU$19)&lt;&gt;"",CU$20,""),
CU$20)))),
CU$20),CU$20)</f>
        <v>1</v>
      </c>
      <c r="CV45" s="360">
        <f t="shared" si="29"/>
        <v>5</v>
      </c>
      <c r="CY45" s="443" t="b" cm="1">
        <f t="array" ref="CY45">IFERROR(AND(S$12,IF(AND($G45,$D45="COI"),
IF(AND(teacher_type="R",career_stage="P"),VLOOKUP($BF45,RPI[],COLUMN(RPI[cot1]),FALSE),
IF(AND(teacher_type="R",career_stage="HP"),VLOOKUP($BF45,RHPI[],COLUMN(RHPI[cot1]),FALSE),
IF(AND(teacher_type="TB",career_stage="P"),VLOOKUP($BF45,TBPI[],COLUMN(TBPI[cot1]),FALSE),
IF(AND(teacher_type="TB",career_stage="HP"),VLOOKUP($BF45,TBHPI[],COLUMN(TBHPI[cot1]),FALSE),FALSE)))),
FALSE)),FALSE)</f>
        <v>0</v>
      </c>
      <c r="CZ45" s="443" t="b">
        <f t="shared" si="30"/>
        <v>0</v>
      </c>
      <c r="DA45" s="443" t="b" cm="1">
        <f t="array" ref="DA45">IFERROR(AND(U$12,IF(AND($G45,$D45="COI"),
IF(AND(teacher_type="R",career_stage="P"),VLOOKUP($BF45,RPI[],COLUMN(RPI[cot2]),FALSE),
IF(AND(teacher_type="R",career_stage="HP"),VLOOKUP($BF45,RHPI[],COLUMN(RHPI[cot2]),FALSE),
IF(AND(teacher_type="TB",career_stage="P"),VLOOKUP($BF45,TBPI[],COLUMN(TBPI[cot2]),FALSE),
IF(AND(teacher_type="TB",career_stage="HP"),VLOOKUP($BF45,TBHPI[],COLUMN(TBHPI[cot2]),FALSE),FALSE)))),
FALSE)),FALSE)</f>
        <v>0</v>
      </c>
      <c r="DB45" s="443" t="b">
        <f t="shared" si="31"/>
        <v>0</v>
      </c>
      <c r="DC45" s="443" t="b" cm="1">
        <f t="array" ref="DC45">IFERROR(AND(W$12,IF(AND($G45,$D45="COI"),
IF(AND(teacher_type="R",career_stage="P"),VLOOKUP($BF45,RPI[],COLUMN(RPI[cot3]),FALSE),
IF(AND(teacher_type="R",career_stage="HP"),VLOOKUP($BF45,RHPI[],COLUMN(RHPI[cot3]),FALSE),
IF(AND(teacher_type="TB",career_stage="P"),VLOOKUP($BF45,TBPI[],COLUMN(TBPI[cot3]),FALSE),
IF(AND(teacher_type="TB",career_stage="HP"),VLOOKUP($BF45,TBHPI[],COLUMN(TBHPI[cot3]),FALSE),FALSE)))),
FALSE)),FALSE)</f>
        <v>0</v>
      </c>
      <c r="DD45" s="443" t="b">
        <f t="shared" si="32"/>
        <v>0</v>
      </c>
      <c r="DE45" s="443" t="b" cm="1">
        <f t="array" ref="DE45">IFERROR(AND(Y$12,IF(AND($G45,$D45="COI"),
IF(AND(teacher_type="R",career_stage="P"),VLOOKUP($BF45,RPI[],COLUMN(RPI[cot4]),FALSE),
IF(AND(teacher_type="R",career_stage="HP"),VLOOKUP($BF45,RHPI[],COLUMN(RHPI[cot4]),FALSE),
IF(AND(teacher_type="TB",career_stage="P"),VLOOKUP($BF45,TBPI[],COLUMN(TBPI[cot4]),FALSE),
IF(AND(teacher_type="TB",career_stage="HP"),VLOOKUP($BF45,TBHPI[],COLUMN(TBHPI[cot4]),FALSE),FALSE)))),
FALSE)),FALSE)</f>
        <v>0</v>
      </c>
      <c r="DF45" s="443" t="b">
        <f t="shared" si="33"/>
        <v>0</v>
      </c>
      <c r="DG45" s="150">
        <f t="shared" si="34"/>
        <v>0</v>
      </c>
      <c r="DH45" s="154">
        <f>IF(AND(CY45,LOWER(TRIM(S$20))=LOWER(TRIM(data2!$U$35))),1,0) +
IF(AND(DA45,LOWER(TRIM(U$20))=LOWER(TRIM(data2!$U$35))),1,0) +
IF(AND(DC45,LOWER(TRIM(W$20))=LOWER(TRIM(data2!$U$35))),1,0) +
IF(AND(DE45,LOWER(TRIM(Y$20))=LOWER(TRIM(data2!$U$35))),1,0)</f>
        <v>0</v>
      </c>
      <c r="DJ45" s="154">
        <f t="shared" si="35"/>
        <v>0</v>
      </c>
    </row>
    <row r="46" spans="1:114" s="154" customFormat="1" ht="24.95" hidden="1" customHeight="1" x14ac:dyDescent="0.25">
      <c r="A46" s="156"/>
      <c r="B46" s="154">
        <v>25</v>
      </c>
      <c r="C46" s="150" t="str">
        <f>IFERROR(IF(AND(teacher_type="R",career_stage="P"),VLOOKUP(O46,RPI[],COLUMNS(RPI[[Strand]:[admin_selected_coi_ncoi]]),FALSE),IF(AND(teacher_type="R",career_stage="HP"),VLOOKUP(O46,RHPI[],COLUMNS(RHPI[[Strand]:[admin_selected_coi_ncoi]]),FALSE),IF(AND(teacher_type="TB",career_stage="P"),VLOOKUP(O46,TBPI[],COLUMNS(TBPI[[Strand]:[admin_selected_coi_ncoi]]),FALSE),IF(AND(teacher_type="TB",career_stage="HP"),VLOOKUP(O46,TBHPI[],COLUMNS(TBHPI[[Strand]:[admin_selected_coi_ncoi]]),FALSE),"NCOI")))),"NCOI")</f>
        <v>NCOI</v>
      </c>
      <c r="D46" s="150" t="str">
        <f t="shared" si="10"/>
        <v/>
      </c>
      <c r="E46" s="150">
        <f>IFERROR(IF(AND(teacher_type="R",career_stage="P"),VLOOKUP($O46,RPI[[Strand]:[Domain]],COLUMNS(RPI[[Strand]:[Domain]]),FALSE),IF(AND(teacher_type="R",career_stage="HP"),VLOOKUP($O46,RHPI[[Strand]:[Domain]],COLUMNS(RHPI[[Strand]:[Domain]]),FALSE),IF(AND(teacher_type="TB",career_stage="P"),VLOOKUP($O46,TBPI[[Strand]:[Domain]],COLUMNS(TBPI[[Strand]:[Domain]]),FALSE),IF(AND(teacher_type="TB",career_stage="HP"),VLOOKUP($O46,TBHPI[[Strand]:[Domain]],COLUMNS(TBHPI[[Strand]:[Domain]]),FALSE),"")))),"")</f>
        <v>4</v>
      </c>
      <c r="F46" s="155" t="b">
        <f>AND(COUNTIFS($E$22:$E46,E46,$G$22:$G46,TRUE)=1,$G46)</f>
        <v>0</v>
      </c>
      <c r="G46" s="212" t="b">
        <f>IFERROR(IF(AND(teacher_type="R",career_stage="P"),VLOOKUP($O46,RPI[],COLUMNS(RPI[[Strand]:[Selected]]),FALSE),IF(AND(teacher_type="R",career_stage="HP"),VLOOKUP($O46,RHPI[],COLUMNS(RHPI[[Strand]:[Selected]]),FALSE),IF(AND(teacher_type="TB",career_stage="P"),VLOOKUP($O46,TBPI[],COLUMNS(TBPI[[Strand]:[Selected]]),FALSE),IF(AND(teacher_type="TB",career_stage="HP"),VLOOKUP($O46,TBHPI[],COLUMNS(TBHPI[[Strand]:[Selected]]),FALSE),FALSE)))),FALSE)</f>
        <v>0</v>
      </c>
      <c r="H46" s="156" t="b">
        <f>IFERROR(IF(AND(teacher_type="R",career_stage="P"),AND(COUNTIFS(RPS[Strand],$O46,RPS[QET],H$21)&gt;0,$G46),IF(AND(teacher_type="R",career_stage="HP"),AND(COUNTIFS(RHPS[Strand],$O46,RHPS[QET],H$21)&gt;0,$G46),IF(AND(teacher_type="TB",career_stage="P"),AND(COUNTIFS(TBPS[Strand],$O46,TBPS[QET],H$21)&gt;0,$G46),IF(AND(teacher_type="TB",career_stage="HP"),AND(COUNTIFS(TBHPS[Strand],$O46,TBHPS[QET],H$21)&gt;0,$G46),FALSE)))),FALSE)</f>
        <v>0</v>
      </c>
      <c r="I46" s="156" t="b">
        <f t="shared" si="11"/>
        <v>0</v>
      </c>
      <c r="J46" s="156" t="b">
        <f>IFERROR(IF(AND(teacher_type="R",career_stage="P"),AND(COUNTIFS(RPS[Strand],$O46,RPS[QET],J$21)&gt;0,$G46),IF(AND(teacher_type="R",career_stage="HP"),AND(COUNTIFS(RHPS[Strand],$O46,RHPS[QET],J$21)&gt;0,$G46),IF(AND(teacher_type="TB",career_stage="P"),AND(COUNTIFS(TBPS[Strand],$O46,TBPS[QET],J$21)&gt;0,$G46),IF(AND(teacher_type="TB",career_stage="HP"),AND(COUNTIFS(TBHPS[Strand],$O46,TBHPS[QET],J$21)&gt;0,$G46),FALSE)))),FALSE)</f>
        <v>0</v>
      </c>
      <c r="K46" s="156" t="b">
        <f>IFERROR(IF(AND(teacher_type="R",career_stage="P"),AND(COUNTIFS(RPS[Strand],$O46,RPS[QET],K$21)&gt;0,$G46),IF(AND(teacher_type="R",career_stage="HP"),AND(COUNTIFS(RHPS[Strand],$O46,RHPS[QET],K$21)&gt;0,$G46),IF(AND(teacher_type="TB",career_stage="P"),AND(COUNTIFS(TBPS[Strand],$O46,TBPS[QET],K$21)&gt;0,$G46),IF(AND(teacher_type="TB",career_stage="HP"),AND(COUNTIFS(TBHPS[Strand],$O46,TBHPS[QET],K$21)&gt;0,$G46),FALSE)))),FALSE)</f>
        <v>0</v>
      </c>
      <c r="L46" s="156" t="b">
        <f t="shared" si="12"/>
        <v>0</v>
      </c>
      <c r="M46" s="165" t="str">
        <f t="shared" si="13"/>
        <v/>
      </c>
      <c r="N46" s="48" t="str">
        <f>IF($G46,COUNTIF($G$22:$G46,TRUE),"")</f>
        <v/>
      </c>
      <c r="O46" s="48" t="str" cm="1">
        <f t="array" ref="O46">IFERROR(IF(AND(teacher_type="R",career_stage="P"),INDEX(RPI[Strand],$B46),IF(AND(teacher_type="R",career_stage="HP"),INDEX(RHPI[Strand],$B46),IF(AND(teacher_type="TB",career_stage="P"),INDEX(TBPI[Strand],$B46),IF(AND(teacher_type="TB",career_stage="HP"),INDEX(TBHPI[Strand],$B46),"")))),"")</f>
        <v>5.2.2</v>
      </c>
      <c r="P46" s="166" t="str">
        <f>$C$46</f>
        <v>NCOI</v>
      </c>
      <c r="Q46" s="167">
        <f>IFERROR(IF(AND(teacher_type="R",career_stage="P"),VLOOKUP(O46,RPI[],COLUMNS(RPI[[Strand]:[Weight]]),FALSE), IF(AND(teacher_type="R",career_stage="HP"),VLOOKUP(O46,RHPI[],COLUMNS(RHPI[[Strand]:[Weight]]),FALSE), IF(AND(teacher_type="TB",career_stage="P"),VLOOKUP(O46,TBPI[],COLUMNS(TBPI[[Strand]:[Weight]]),FALSE), IF(AND(teacher_type="TB",career_stage="HP"),VLOOKUP(O46,TBHPI[],COLUMNS(TBHPI[[Strand]:[Weight]]),FALSE),0)))),0)</f>
        <v>0</v>
      </c>
      <c r="R46" s="168">
        <f>COUNTIFS($D$22:D46,"COI",$G$22:G46,TRUE)</f>
        <v>8</v>
      </c>
      <c r="S46" s="483"/>
      <c r="T46" s="169" t="str">
        <f>IFERROR(IF(LOWER(TRIM(S$20))=LOWER(TRIM(data2!$U$35)),"",IF(AND($G46,$D46="COI",S$12,CZ46),IF(OR(LOWER(TRIM(S$20))=LOWER(TRIM(data2!$U$36)),ISBLANK(S46)),1,IF(career_stage="P",VLOOKUP(S46,P_COT_vlookup,2,FALSE),IF(career_stage="HP",VLOOKUP(S46,HP_COT_vlookup,2,FALSE),""))),"")),"")</f>
        <v/>
      </c>
      <c r="U46" s="489"/>
      <c r="V46" s="170" t="str">
        <f>IFERROR(IF(LOWER(TRIM(U$20))=LOWER(TRIM(data2!$U$35)),"",IF(AND($G46,$D46="COI",U$12,DB46),IF(OR(LOWER(TRIM(U$20))=LOWER(TRIM(data2!$U$36)),ISBLANK(U46)),1,IF(career_stage="P",VLOOKUP(U46,P_COT_vlookup,2,FALSE),IF(career_stage="HP",VLOOKUP(U46,HP_COT_vlookup,2,FALSE),""))),"")),"")</f>
        <v/>
      </c>
      <c r="W46" s="483"/>
      <c r="X46" s="169" t="str">
        <f>IFERROR(IF(LOWER(TRIM(W$20))=LOWER(TRIM(data2!$U$35)),"",IF(AND($G46,$D46="COI",W$12,DD46),IF(OR(LOWER(TRIM(W$20))=LOWER(TRIM(data2!$U$36)),ISBLANK(W46)),1,IF(career_stage="P",VLOOKUP(W46,P_COT_vlookup,2,FALSE),IF(career_stage="HP",VLOOKUP(W46,HP_COT_vlookup,2,FALSE),""))),"")),"")</f>
        <v/>
      </c>
      <c r="Y46" s="489"/>
      <c r="Z46" s="170" t="str">
        <f>IFERROR(IF(LOWER(TRIM(Y$20))=LOWER(TRIM(data2!$U$35)),"",IF(AND($G46,$D46="COI",Y$12,DF46),IF(OR(LOWER(TRIM(Y$20))=LOWER(TRIM(data2!$U$36)),ISBLANK(Y46)),1,IF(career_stage="P",VLOOKUP(Y46,P_COT_vlookup,2,FALSE),IF(career_stage="HP",VLOOKUP(Y46,HP_COT_vlookup,2,FALSE),""))),"")),"")</f>
        <v/>
      </c>
      <c r="AA46" s="171">
        <f t="shared" si="14"/>
        <v>0</v>
      </c>
      <c r="AB46" s="471"/>
      <c r="AC46" s="473"/>
      <c r="AD46" s="473"/>
      <c r="AE46" s="49">
        <f t="shared" si="2"/>
        <v>0</v>
      </c>
      <c r="AF46" s="49">
        <f t="shared" si="3"/>
        <v>0</v>
      </c>
      <c r="AG46" s="172" t="str">
        <f t="shared" si="4"/>
        <v>Poor</v>
      </c>
      <c r="AI46" s="196" t="b">
        <f t="shared" si="5"/>
        <v>1</v>
      </c>
      <c r="AJ46" s="154" t="b">
        <v>1</v>
      </c>
      <c r="AK46" s="154" t="b">
        <v>1</v>
      </c>
      <c r="AL46" s="196" t="b">
        <f t="shared" si="15"/>
        <v>1</v>
      </c>
      <c r="AM46" s="154" t="b">
        <v>1</v>
      </c>
      <c r="AN46" s="196" t="b">
        <f t="shared" si="15"/>
        <v>1</v>
      </c>
      <c r="AO46" s="154" t="b">
        <v>1</v>
      </c>
      <c r="AP46" s="196" t="b">
        <f t="shared" si="15"/>
        <v>1</v>
      </c>
      <c r="AQ46" s="154" t="b">
        <v>1</v>
      </c>
      <c r="AR46" s="196" t="b">
        <f t="shared" si="15"/>
        <v>1</v>
      </c>
      <c r="AS46" s="154" t="b">
        <v>1</v>
      </c>
      <c r="AT46" s="154" t="b">
        <v>1</v>
      </c>
      <c r="AU46" s="196" t="b">
        <f t="shared" si="6"/>
        <v>1</v>
      </c>
      <c r="AV46" s="196" t="b">
        <f t="shared" si="7"/>
        <v>1</v>
      </c>
      <c r="AW46" s="196" t="b">
        <f t="shared" si="8"/>
        <v>1</v>
      </c>
      <c r="AX46" s="47" t="b">
        <v>1</v>
      </c>
      <c r="AY46" s="47" t="b">
        <v>1</v>
      </c>
      <c r="AZ46" s="47" t="b">
        <v>1</v>
      </c>
      <c r="BF46" s="154" t="str">
        <f t="shared" si="9"/>
        <v>5.2.2</v>
      </c>
      <c r="BG46" s="196" t="b" cm="1">
        <f t="array" ref="BG46">IFERROR(IF(OR(LOWER(TRIM(S$20))=LOWER(TRIM(data2!$U$35)),LOWER(TRIM(S$20))=LOWER(TRIM(data2!$U$36))),FALSE,AND(S$12,IF(AND($G46,$D46="COI"),
IF(AND(teacher_type="R",career_stage="P"),VLOOKUP($BF46,RPI[],COLUMN(RPI[cot1]),FALSE),
IF(AND(teacher_type="R",career_stage="HP"),VLOOKUP($BF46,RHPI[],COLUMN(RHPI[cot1]),FALSE),
IF(AND(teacher_type="TB",career_stage="P"),VLOOKUP($BF46,TBPI[],COLUMN(TBPI[cot1]),FALSE),
IF(AND(teacher_type="TB",career_stage="HP"),VLOOKUP($BF46,TBHPI[],COLUMN(TBHPI[cot1]),FALSE),FALSE)))),
FALSE))),FALSE)</f>
        <v>0</v>
      </c>
      <c r="BH46" s="154" t="b">
        <v>0</v>
      </c>
      <c r="BI46" s="196" t="b" cm="1">
        <f t="array" ref="BI46">IFERROR(IF(OR(LOWER(TRIM(U$20))=LOWER(TRIM(data2!$U$35)),LOWER(TRIM(U$20))=LOWER(TRIM(data2!$U$36))),FALSE,AND(U$12,IF(AND($G46,$D46="COI"),
IF(AND(teacher_type="R",career_stage="P"),VLOOKUP($BF46,RPI[],COLUMN(RPI[cot2]),FALSE),
IF(AND(teacher_type="R",career_stage="HP"),VLOOKUP($BF46,RHPI[],COLUMN(RHPI[cot2]),FALSE),
IF(AND(teacher_type="TB",career_stage="P"),VLOOKUP($BF46,TBPI[],COLUMN(TBPI[cot2]),FALSE),
IF(AND(teacher_type="TB",career_stage="HP"),VLOOKUP($BF46,TBHPI[],COLUMN(TBHPI[cot2]),FALSE),FALSE)))),
FALSE))),FALSE)</f>
        <v>0</v>
      </c>
      <c r="BJ46" s="154" t="b">
        <v>0</v>
      </c>
      <c r="BK46" s="196" t="b" cm="1">
        <f t="array" ref="BK46">IFERROR(IF(OR(LOWER(TRIM(W$20))=LOWER(TRIM(data2!$U$35)),LOWER(TRIM(W$20))=LOWER(TRIM(data2!$U$36))),FALSE,AND(W$12,IF(AND($G46,$D46="COI"),
IF(AND(teacher_type="R",career_stage="P"),VLOOKUP($BF46,RPI[],COLUMN(RPI[cot3]),FALSE),
IF(AND(teacher_type="R",career_stage="HP"),VLOOKUP($BF46,RHPI[],COLUMN(RHPI[cot3]),FALSE),
IF(AND(teacher_type="TB",career_stage="P"),VLOOKUP($BF46,TBPI[],COLUMN(TBPI[cot3]),FALSE),
IF(AND(teacher_type="TB",career_stage="HP"),VLOOKUP($BF46,TBHPI[],COLUMN(TBHPI[cot3]),FALSE),FALSE)))),
FALSE))),FALSE)</f>
        <v>0</v>
      </c>
      <c r="BL46" s="154" t="b">
        <v>0</v>
      </c>
      <c r="BM46" s="196" t="b" cm="1">
        <f t="array" ref="BM46">IFERROR(IF(OR(LOWER(TRIM(Y$20))=LOWER(TRIM(data2!$U$35)),LOWER(TRIM(Y$20))=LOWER(TRIM(data2!$U$36))),FALSE,AND(Y$12,IF(AND($G46,$D46="COI"),
IF(AND(teacher_type="R",career_stage="P"),VLOOKUP($BF46,RPI[],COLUMN(RPI[cot4]),FALSE),
IF(AND(teacher_type="R",career_stage="HP"),VLOOKUP($BF46,RHPI[],COLUMN(RHPI[cot4]),FALSE),
IF(AND(teacher_type="TB",career_stage="P"),VLOOKUP($BF46,TBPI[],COLUMN(TBPI[cot4]),FALSE),
IF(AND(teacher_type="TB",career_stage="HP"),VLOOKUP($BF46,TBHPI[],COLUMN(TBHPI[cot4]),FALSE),FALSE)))),
FALSE))),FALSE)</f>
        <v>0</v>
      </c>
      <c r="BN46" s="154" t="b">
        <v>0</v>
      </c>
      <c r="BO46" s="150">
        <f t="shared" si="16"/>
        <v>0</v>
      </c>
      <c r="BP46" s="196" t="b">
        <f t="shared" si="17"/>
        <v>0</v>
      </c>
      <c r="BQ46" s="196" t="b">
        <f>IFERROR(IF(OR(NOT(CZ46),LOWER(TRIM(S$20))=LOWER(TRIM(data2!$U$35))),TRUE,IF(AND(CZ46,LOWER(TRIM(S$20))=LOWER(TRIM(data2!$U$36))),FALSE)),FALSE)</f>
        <v>1</v>
      </c>
      <c r="BR46" s="196" t="b">
        <f t="shared" si="18"/>
        <v>0</v>
      </c>
      <c r="BS46" s="196" t="b">
        <f>IFERROR(IF(OR(NOT(DB46),LOWER(TRIM(U$20))=LOWER(TRIM(data2!$U$35))),TRUE,IF(AND(DB46,LOWER(TRIM(U$20))=LOWER(TRIM(data2!$U$36))),FALSE)),FALSE)</f>
        <v>1</v>
      </c>
      <c r="BT46" s="196" t="b">
        <f t="shared" si="19"/>
        <v>0</v>
      </c>
      <c r="BU46" s="196" t="b">
        <f>IFERROR(IF(OR(NOT(DD46),LOWER(TRIM(W$20))=LOWER(TRIM(data2!$U$35))),TRUE,IF(AND(DD46,LOWER(TRIM(W$20))=LOWER(TRIM(data2!$U$36))),FALSE)),FALSE)</f>
        <v>1</v>
      </c>
      <c r="BV46" s="196" t="b">
        <f t="shared" si="20"/>
        <v>0</v>
      </c>
      <c r="BW46" s="196" t="b">
        <f>IFERROR(IF(OR(NOT(DF46),LOWER(TRIM(Y$20))=LOWER(TRIM(data2!$U$35))),TRUE,IF(AND(DF46,LOWER(TRIM(Y$20))=LOWER(TRIM(data2!$U$36))),FALSE)),FALSE)</f>
        <v>1</v>
      </c>
      <c r="BY46" s="154" t="str">
        <f t="shared" si="21"/>
        <v/>
      </c>
      <c r="BZ46" s="154" t="str">
        <f t="shared" si="22"/>
        <v/>
      </c>
      <c r="CA46" s="154" t="str">
        <f t="shared" si="23"/>
        <v/>
      </c>
      <c r="CB46" s="154" t="str">
        <f t="shared" si="24"/>
        <v>CE46:CI46</v>
      </c>
      <c r="CC46" s="154" t="str">
        <f t="shared" si="25"/>
        <v>CK46:CO46</v>
      </c>
      <c r="CD46" s="154" t="str">
        <f t="shared" si="26"/>
        <v>CQ46:CU46</v>
      </c>
      <c r="CE46" s="359" cm="1">
        <f t="array" ref="CE46">IFERROR(IF($BY46&lt;&gt;"",
IF(AND(teacher_type="R",career_stage="P"),
    IF(INDEX(RPS[[Outstanding]:[Poor]],MATCH($BY46,RPS[[helper]:[helper]],0),CE$19)&lt;&gt;"",CE$20,""),
IF(AND(teacher_type="R",career_stage="HP"),
    IF(INDEX(RHPS[[Outstanding]:[Poor]],MATCH($BY46,RHPS[[helper]:[helper]],0),CE$19)&lt;&gt;"",CE$20,""),
IF(AND(teacher_type="TB",career_stage="P"),
    IF(INDEX(TBPS[[Outstanding]:[Poor]],MATCH($BY46,TBPS[[helper]:[helper]],0),CE$19)&lt;&gt;"",CE$20,""),
IF(AND(teacher_type="TB",career_stage="HP"),
    IF(INDEX(TBHPS[[Outstanding]:[Poor]],MATCH($BY46,TBHPS[[helper]:[helper]],0),CE$19)&lt;&gt;"",CE$20,""),
CE$20)))),
CE$20),CE$20)</f>
        <v>5</v>
      </c>
      <c r="CF46" s="359" cm="1">
        <f t="array" ref="CF46">IFERROR(IF($BY46&lt;&gt;"",
IF(AND(teacher_type="R",career_stage="P"),
    IF(INDEX(RPS[[Outstanding]:[Poor]],MATCH($BY46,RPS[[helper]:[helper]],0),CF$19)&lt;&gt;"",CF$20,""),
IF(AND(teacher_type="R",career_stage="HP"),
    IF(INDEX(RHPS[[Outstanding]:[Poor]],MATCH($BY46,RHPS[[helper]:[helper]],0),CF$19)&lt;&gt;"",CF$20,""),
IF(AND(teacher_type="TB",career_stage="P"),
    IF(INDEX(TBPS[[Outstanding]:[Poor]],MATCH($BY46,TBPS[[helper]:[helper]],0),CF$19)&lt;&gt;"",CF$20,""),
IF(AND(teacher_type="TB",career_stage="HP"),
    IF(INDEX(TBHPS[[Outstanding]:[Poor]],MATCH($BY46,TBHPS[[helper]:[helper]],0),CF$19)&lt;&gt;"",CF$20,""),
CF$20)))),
CF$20),CF$20)</f>
        <v>4</v>
      </c>
      <c r="CG46" s="359" cm="1">
        <f t="array" ref="CG46">IFERROR(IF($BY46&lt;&gt;"",
IF(AND(teacher_type="R",career_stage="P"),
    IF(INDEX(RPS[[Outstanding]:[Poor]],MATCH($BY46,RPS[[helper]:[helper]],0),CG$19)&lt;&gt;"",CG$20,""),
IF(AND(teacher_type="R",career_stage="HP"),
    IF(INDEX(RHPS[[Outstanding]:[Poor]],MATCH($BY46,RHPS[[helper]:[helper]],0),CG$19)&lt;&gt;"",CG$20,""),
IF(AND(teacher_type="TB",career_stage="P"),
    IF(INDEX(TBPS[[Outstanding]:[Poor]],MATCH($BY46,TBPS[[helper]:[helper]],0),CG$19)&lt;&gt;"",CG$20,""),
IF(AND(teacher_type="TB",career_stage="HP"),
    IF(INDEX(TBHPS[[Outstanding]:[Poor]],MATCH($BY46,TBHPS[[helper]:[helper]],0),CG$19)&lt;&gt;"",CG$20,""),
CG$20)))),
CG$20),CG$20)</f>
        <v>3</v>
      </c>
      <c r="CH46" s="359" cm="1">
        <f t="array" ref="CH46">IFERROR(IF($BY46&lt;&gt;"",
IF(AND(teacher_type="R",career_stage="P"),
    IF(INDEX(RPS[[Outstanding]:[Poor]],MATCH($BY46,RPS[[helper]:[helper]],0),CH$19)&lt;&gt;"",CH$20,""),
IF(AND(teacher_type="R",career_stage="HP"),
    IF(INDEX(RHPS[[Outstanding]:[Poor]],MATCH($BY46,RHPS[[helper]:[helper]],0),CH$19)&lt;&gt;"",CH$20,""),
IF(AND(teacher_type="TB",career_stage="P"),
    IF(INDEX(TBPS[[Outstanding]:[Poor]],MATCH($BY46,TBPS[[helper]:[helper]],0),CH$19)&lt;&gt;"",CH$20,""),
IF(AND(teacher_type="TB",career_stage="HP"),
    IF(INDEX(TBHPS[[Outstanding]:[Poor]],MATCH($BY46,TBHPS[[helper]:[helper]],0),CH$19)&lt;&gt;"",CH$20,""),
CH$20)))),
CH$20),CH$20)</f>
        <v>2</v>
      </c>
      <c r="CI46" s="359" cm="1">
        <f t="array" ref="CI46">IFERROR(IF($BY46&lt;&gt;"",
IF(AND(teacher_type="R",career_stage="P"),
    IF(INDEX(RPS[[Outstanding]:[Poor]],MATCH($BY46,RPS[[helper]:[helper]],0),CI$19)&lt;&gt;"",CI$20,""),
IF(AND(teacher_type="R",career_stage="HP"),
    IF(INDEX(RHPS[[Outstanding]:[Poor]],MATCH($BY46,RHPS[[helper]:[helper]],0),CI$19)&lt;&gt;"",CI$20,""),
IF(AND(teacher_type="TB",career_stage="P"),
    IF(INDEX(TBPS[[Outstanding]:[Poor]],MATCH($BY46,TBPS[[helper]:[helper]],0),CI$19)&lt;&gt;"",CI$20,""),
IF(AND(teacher_type="TB",career_stage="HP"),
    IF(INDEX(TBHPS[[Outstanding]:[Poor]],MATCH($BY46,TBHPS[[helper]:[helper]],0),CI$19)&lt;&gt;"",CI$20,""),
CI$20)))),
CI$20),CI$20)</f>
        <v>1</v>
      </c>
      <c r="CJ46" s="360">
        <f t="shared" si="27"/>
        <v>5</v>
      </c>
      <c r="CK46" s="359" cm="1">
        <f t="array" ref="CK46">IFERROR(IF($BZ46&lt;&gt;"",
IF(AND(teacher_type="R",career_stage="P"),
    IF(INDEX(RPS[[Outstanding]:[Poor]],MATCH($BZ46,RPS[[helper]:[helper]],0),CK$19)&lt;&gt;"",CK$20,""),
IF(AND(teacher_type="R",career_stage="HP"),
    IF(INDEX(RHPS[[Outstanding]:[Poor]],MATCH($BZ46,RHPS[[helper]:[helper]],0),CK$19)&lt;&gt;"",CK$20,""),
IF(AND(teacher_type="TB",career_stage="P"),
    IF(INDEX(TBPS[[Outstanding]:[Poor]],MATCH($BZ46,TBPS[[helper]:[helper]],0),CK$19)&lt;&gt;"",CK$20,""),
IF(AND(teacher_type="TB",career_stage="HP"),
    IF(INDEX(TBHPS[[Outstanding]:[Poor]],MATCH($BZ46,TBHPS[[helper]:[helper]],0),CK$19)&lt;&gt;"",CK$20,""),
CK$20)))),
CK$20),CK$20)</f>
        <v>5</v>
      </c>
      <c r="CL46" s="359" cm="1">
        <f t="array" ref="CL46">IFERROR(IF($BZ46&lt;&gt;"",
IF(AND(teacher_type="R",career_stage="P"),
    IF(INDEX(RPS[[Outstanding]:[Poor]],MATCH($BZ46,RPS[[helper]:[helper]],0),CL$19)&lt;&gt;"",CL$20,""),
IF(AND(teacher_type="R",career_stage="HP"),
    IF(INDEX(RHPS[[Outstanding]:[Poor]],MATCH($BZ46,RHPS[[helper]:[helper]],0),CL$19)&lt;&gt;"",CL$20,""),
IF(AND(teacher_type="TB",career_stage="P"),
    IF(INDEX(TBPS[[Outstanding]:[Poor]],MATCH($BZ46,TBPS[[helper]:[helper]],0),CL$19)&lt;&gt;"",CL$20,""),
IF(AND(teacher_type="TB",career_stage="HP"),
    IF(INDEX(TBHPS[[Outstanding]:[Poor]],MATCH($BZ46,TBHPS[[helper]:[helper]],0),CL$19)&lt;&gt;"",CL$20,""),
CL$20)))),
CL$20),CL$20)</f>
        <v>4</v>
      </c>
      <c r="CM46" s="359" cm="1">
        <f t="array" ref="CM46">IFERROR(IF($BZ46&lt;&gt;"",
IF(AND(teacher_type="R",career_stage="P"),
    IF(INDEX(RPS[[Outstanding]:[Poor]],MATCH($BZ46,RPS[[helper]:[helper]],0),CM$19)&lt;&gt;"",CM$20,""),
IF(AND(teacher_type="R",career_stage="HP"),
    IF(INDEX(RHPS[[Outstanding]:[Poor]],MATCH($BZ46,RHPS[[helper]:[helper]],0),CM$19)&lt;&gt;"",CM$20,""),
IF(AND(teacher_type="TB",career_stage="P"),
    IF(INDEX(TBPS[[Outstanding]:[Poor]],MATCH($BZ46,TBPS[[helper]:[helper]],0),CM$19)&lt;&gt;"",CM$20,""),
IF(AND(teacher_type="TB",career_stage="HP"),
    IF(INDEX(TBHPS[[Outstanding]:[Poor]],MATCH($BZ46,TBHPS[[helper]:[helper]],0),CM$19)&lt;&gt;"",CM$20,""),
CM$20)))),
CM$20),CM$20)</f>
        <v>3</v>
      </c>
      <c r="CN46" s="359" cm="1">
        <f t="array" ref="CN46">IFERROR(IF($BZ46&lt;&gt;"",
IF(AND(teacher_type="R",career_stage="P"),
    IF(INDEX(RPS[[Outstanding]:[Poor]],MATCH($BZ46,RPS[[helper]:[helper]],0),CN$19)&lt;&gt;"",CN$20,""),
IF(AND(teacher_type="R",career_stage="HP"),
    IF(INDEX(RHPS[[Outstanding]:[Poor]],MATCH($BZ46,RHPS[[helper]:[helper]],0),CN$19)&lt;&gt;"",CN$20,""),
IF(AND(teacher_type="TB",career_stage="P"),
    IF(INDEX(TBPS[[Outstanding]:[Poor]],MATCH($BZ46,TBPS[[helper]:[helper]],0),CN$19)&lt;&gt;"",CN$20,""),
IF(AND(teacher_type="TB",career_stage="HP"),
    IF(INDEX(TBHPS[[Outstanding]:[Poor]],MATCH($BZ46,TBHPS[[helper]:[helper]],0),CN$19)&lt;&gt;"",CN$20,""),
CN$20)))),
CN$20),CN$20)</f>
        <v>2</v>
      </c>
      <c r="CO46" s="359" cm="1">
        <f t="array" ref="CO46">IFERROR(IF($BZ46&lt;&gt;"",
IF(AND(teacher_type="R",career_stage="P"),
    IF(INDEX(RPS[[Outstanding]:[Poor]],MATCH($BZ46,RPS[[helper]:[helper]],0),CO$19)&lt;&gt;"",CO$20,""),
IF(AND(teacher_type="R",career_stage="HP"),
    IF(INDEX(RHPS[[Outstanding]:[Poor]],MATCH($BZ46,RHPS[[helper]:[helper]],0),CO$19)&lt;&gt;"",CO$20,""),
IF(AND(teacher_type="TB",career_stage="P"),
    IF(INDEX(TBPS[[Outstanding]:[Poor]],MATCH($BZ46,TBPS[[helper]:[helper]],0),CO$19)&lt;&gt;"",CO$20,""),
IF(AND(teacher_type="TB",career_stage="HP"),
    IF(INDEX(TBHPS[[Outstanding]:[Poor]],MATCH($BZ46,TBHPS[[helper]:[helper]],0),CO$19)&lt;&gt;"",CO$20,""),
CO$20)))),
CO$20),CO$20)</f>
        <v>1</v>
      </c>
      <c r="CP46" s="360">
        <f t="shared" si="28"/>
        <v>5</v>
      </c>
      <c r="CQ46" s="359" cm="1">
        <f t="array" ref="CQ46">IFERROR(IF($CA46&lt;&gt;"",
IF(AND(teacher_type="R",career_stage="P"),
    IF(INDEX(RPS[[Outstanding]:[Poor]],MATCH($CA46,RPS[[helper]:[helper]],0),CQ$19)&lt;&gt;"",CQ$20,""),
IF(AND(teacher_type="R",career_stage="HP"),
    IF(INDEX(RHPS[[Outstanding]:[Poor]],MATCH($CA46,RHPS[[helper]:[helper]],0),CQ$19)&lt;&gt;"",CQ$20,""),
IF(AND(teacher_type="TB",career_stage="P"),
    IF(INDEX(TBPS[[Outstanding]:[Poor]],MATCH($CA46,TBPS[[helper]:[helper]],0),CQ$19)&lt;&gt;"",CQ$20,""),
IF(AND(teacher_type="TB",career_stage="HP"),
    IF(INDEX(TBHPS[[Outstanding]:[Poor]],MATCH($CA46,TBHPS[[helper]:[helper]],0),CQ$19)&lt;&gt;"",CQ$20,""),
CQ$20)))),
CQ$20),CQ$20)</f>
        <v>5</v>
      </c>
      <c r="CR46" s="359" cm="1">
        <f t="array" ref="CR46">IFERROR(IF($CA46&lt;&gt;"",
IF(AND(teacher_type="R",career_stage="P"),
    IF(INDEX(RPS[[Outstanding]:[Poor]],MATCH($CA46,RPS[[helper]:[helper]],0),CR$19)&lt;&gt;"",CR$20,""),
IF(AND(teacher_type="R",career_stage="HP"),
    IF(INDEX(RHPS[[Outstanding]:[Poor]],MATCH($CA46,RHPS[[helper]:[helper]],0),CR$19)&lt;&gt;"",CR$20,""),
IF(AND(teacher_type="TB",career_stage="P"),
    IF(INDEX(TBPS[[Outstanding]:[Poor]],MATCH($CA46,TBPS[[helper]:[helper]],0),CR$19)&lt;&gt;"",CR$20,""),
IF(AND(teacher_type="TB",career_stage="HP"),
    IF(INDEX(TBHPS[[Outstanding]:[Poor]],MATCH($CA46,TBHPS[[helper]:[helper]],0),CR$19)&lt;&gt;"",CR$20,""),
CR$20)))),
CR$20),CR$20)</f>
        <v>4</v>
      </c>
      <c r="CS46" s="359" cm="1">
        <f t="array" ref="CS46">IFERROR(IF($CA46&lt;&gt;"",
IF(AND(teacher_type="R",career_stage="P"),
    IF(INDEX(RPS[[Outstanding]:[Poor]],MATCH($CA46,RPS[[helper]:[helper]],0),CS$19)&lt;&gt;"",CS$20,""),
IF(AND(teacher_type="R",career_stage="HP"),
    IF(INDEX(RHPS[[Outstanding]:[Poor]],MATCH($CA46,RHPS[[helper]:[helper]],0),CS$19)&lt;&gt;"",CS$20,""),
IF(AND(teacher_type="TB",career_stage="P"),
    IF(INDEX(TBPS[[Outstanding]:[Poor]],MATCH($CA46,TBPS[[helper]:[helper]],0),CS$19)&lt;&gt;"",CS$20,""),
IF(AND(teacher_type="TB",career_stage="HP"),
    IF(INDEX(TBHPS[[Outstanding]:[Poor]],MATCH($CA46,TBHPS[[helper]:[helper]],0),CS$19)&lt;&gt;"",CS$20,""),
CS$20)))),
CS$20),CS$20)</f>
        <v>3</v>
      </c>
      <c r="CT46" s="359" cm="1">
        <f t="array" ref="CT46">IFERROR(IF($CA46&lt;&gt;"",
IF(AND(teacher_type="R",career_stage="P"),
    IF(INDEX(RPS[[Outstanding]:[Poor]],MATCH($CA46,RPS[[helper]:[helper]],0),CT$19)&lt;&gt;"",CT$20,""),
IF(AND(teacher_type="R",career_stage="HP"),
    IF(INDEX(RHPS[[Outstanding]:[Poor]],MATCH($CA46,RHPS[[helper]:[helper]],0),CT$19)&lt;&gt;"",CT$20,""),
IF(AND(teacher_type="TB",career_stage="P"),
    IF(INDEX(TBPS[[Outstanding]:[Poor]],MATCH($CA46,TBPS[[helper]:[helper]],0),CT$19)&lt;&gt;"",CT$20,""),
IF(AND(teacher_type="TB",career_stage="HP"),
    IF(INDEX(TBHPS[[Outstanding]:[Poor]],MATCH($CA46,TBHPS[[helper]:[helper]],0),CT$19)&lt;&gt;"",CT$20,""),
CT$20)))),
CT$20),CT$20)</f>
        <v>2</v>
      </c>
      <c r="CU46" s="359" cm="1">
        <f t="array" ref="CU46">IFERROR(IF($CA46&lt;&gt;"",
IF(AND(teacher_type="R",career_stage="P"),
    IF(INDEX(RPS[[Outstanding]:[Poor]],MATCH($CA46,RPS[[helper]:[helper]],0),CU$19)&lt;&gt;"",CU$20,""),
IF(AND(teacher_type="R",career_stage="HP"),
    IF(INDEX(RHPS[[Outstanding]:[Poor]],MATCH($CA46,RHPS[[helper]:[helper]],0),CU$19)&lt;&gt;"",CU$20,""),
IF(AND(teacher_type="TB",career_stage="P"),
    IF(INDEX(TBPS[[Outstanding]:[Poor]],MATCH($CA46,TBPS[[helper]:[helper]],0),CU$19)&lt;&gt;"",CU$20,""),
IF(AND(teacher_type="TB",career_stage="HP"),
    IF(INDEX(TBHPS[[Outstanding]:[Poor]],MATCH($CA46,TBHPS[[helper]:[helper]],0),CU$19)&lt;&gt;"",CU$20,""),
CU$20)))),
CU$20),CU$20)</f>
        <v>1</v>
      </c>
      <c r="CV46" s="360">
        <f t="shared" si="29"/>
        <v>5</v>
      </c>
      <c r="CY46" s="443" t="b" cm="1">
        <f t="array" ref="CY46">IFERROR(AND(S$12,IF(AND($G46,$D46="COI"),
IF(AND(teacher_type="R",career_stage="P"),VLOOKUP($BF46,RPI[],COLUMN(RPI[cot1]),FALSE),
IF(AND(teacher_type="R",career_stage="HP"),VLOOKUP($BF46,RHPI[],COLUMN(RHPI[cot1]),FALSE),
IF(AND(teacher_type="TB",career_stage="P"),VLOOKUP($BF46,TBPI[],COLUMN(TBPI[cot1]),FALSE),
IF(AND(teacher_type="TB",career_stage="HP"),VLOOKUP($BF46,TBHPI[],COLUMN(TBHPI[cot1]),FALSE),FALSE)))),
FALSE)),FALSE)</f>
        <v>0</v>
      </c>
      <c r="CZ46" s="443" t="b">
        <f t="shared" si="30"/>
        <v>0</v>
      </c>
      <c r="DA46" s="443" t="b" cm="1">
        <f t="array" ref="DA46">IFERROR(AND(U$12,IF(AND($G46,$D46="COI"),
IF(AND(teacher_type="R",career_stage="P"),VLOOKUP($BF46,RPI[],COLUMN(RPI[cot2]),FALSE),
IF(AND(teacher_type="R",career_stage="HP"),VLOOKUP($BF46,RHPI[],COLUMN(RHPI[cot2]),FALSE),
IF(AND(teacher_type="TB",career_stage="P"),VLOOKUP($BF46,TBPI[],COLUMN(TBPI[cot2]),FALSE),
IF(AND(teacher_type="TB",career_stage="HP"),VLOOKUP($BF46,TBHPI[],COLUMN(TBHPI[cot2]),FALSE),FALSE)))),
FALSE)),FALSE)</f>
        <v>0</v>
      </c>
      <c r="DB46" s="443" t="b">
        <f t="shared" si="31"/>
        <v>0</v>
      </c>
      <c r="DC46" s="443" t="b" cm="1">
        <f t="array" ref="DC46">IFERROR(AND(W$12,IF(AND($G46,$D46="COI"),
IF(AND(teacher_type="R",career_stage="P"),VLOOKUP($BF46,RPI[],COLUMN(RPI[cot3]),FALSE),
IF(AND(teacher_type="R",career_stage="HP"),VLOOKUP($BF46,RHPI[],COLUMN(RHPI[cot3]),FALSE),
IF(AND(teacher_type="TB",career_stage="P"),VLOOKUP($BF46,TBPI[],COLUMN(TBPI[cot3]),FALSE),
IF(AND(teacher_type="TB",career_stage="HP"),VLOOKUP($BF46,TBHPI[],COLUMN(TBHPI[cot3]),FALSE),FALSE)))),
FALSE)),FALSE)</f>
        <v>0</v>
      </c>
      <c r="DD46" s="443" t="b">
        <f t="shared" si="32"/>
        <v>0</v>
      </c>
      <c r="DE46" s="443" t="b" cm="1">
        <f t="array" ref="DE46">IFERROR(AND(Y$12,IF(AND($G46,$D46="COI"),
IF(AND(teacher_type="R",career_stage="P"),VLOOKUP($BF46,RPI[],COLUMN(RPI[cot4]),FALSE),
IF(AND(teacher_type="R",career_stage="HP"),VLOOKUP($BF46,RHPI[],COLUMN(RHPI[cot4]),FALSE),
IF(AND(teacher_type="TB",career_stage="P"),VLOOKUP($BF46,TBPI[],COLUMN(TBPI[cot4]),FALSE),
IF(AND(teacher_type="TB",career_stage="HP"),VLOOKUP($BF46,TBHPI[],COLUMN(TBHPI[cot4]),FALSE),FALSE)))),
FALSE)),FALSE)</f>
        <v>0</v>
      </c>
      <c r="DF46" s="443" t="b">
        <f t="shared" si="33"/>
        <v>0</v>
      </c>
      <c r="DG46" s="150">
        <f t="shared" si="34"/>
        <v>0</v>
      </c>
      <c r="DH46" s="154">
        <f>IF(AND(CY46,LOWER(TRIM(S$20))=LOWER(TRIM(data2!$U$35))),1,0) +
IF(AND(DA46,LOWER(TRIM(U$20))=LOWER(TRIM(data2!$U$35))),1,0) +
IF(AND(DC46,LOWER(TRIM(W$20))=LOWER(TRIM(data2!$U$35))),1,0) +
IF(AND(DE46,LOWER(TRIM(Y$20))=LOWER(TRIM(data2!$U$35))),1,0)</f>
        <v>0</v>
      </c>
      <c r="DJ46" s="154">
        <f t="shared" si="35"/>
        <v>0</v>
      </c>
    </row>
    <row r="47" spans="1:114" s="154" customFormat="1" ht="24.95" customHeight="1" x14ac:dyDescent="0.25">
      <c r="A47" s="156"/>
      <c r="B47" s="154">
        <v>26</v>
      </c>
      <c r="C47" s="150" t="str">
        <f>IFERROR(IF(AND(teacher_type="R",career_stage="P"),VLOOKUP(O47,RPI[],COLUMNS(RPI[[Strand]:[admin_selected_coi_ncoi]]),FALSE),IF(AND(teacher_type="R",career_stage="HP"),VLOOKUP(O47,RHPI[],COLUMNS(RHPI[[Strand]:[admin_selected_coi_ncoi]]),FALSE),IF(AND(teacher_type="TB",career_stage="P"),VLOOKUP(O47,TBPI[],COLUMNS(TBPI[[Strand]:[admin_selected_coi_ncoi]]),FALSE),IF(AND(teacher_type="TB",career_stage="HP"),VLOOKUP(O47,TBHPI[],COLUMNS(TBHPI[[Strand]:[admin_selected_coi_ncoi]]),FALSE),"NCOI")))),"NCOI")</f>
        <v>COI</v>
      </c>
      <c r="D47" s="150" t="str">
        <f t="shared" si="10"/>
        <v>COI</v>
      </c>
      <c r="E47" s="150">
        <f>IFERROR(IF(AND(teacher_type="R",career_stage="P"),VLOOKUP($O47,RPI[[Strand]:[Domain]],COLUMNS(RPI[[Strand]:[Domain]]),FALSE),IF(AND(teacher_type="R",career_stage="HP"),VLOOKUP($O47,RHPI[[Strand]:[Domain]],COLUMNS(RHPI[[Strand]:[Domain]]),FALSE),IF(AND(teacher_type="TB",career_stage="P"),VLOOKUP($O47,TBPI[[Strand]:[Domain]],COLUMNS(TBPI[[Strand]:[Domain]]),FALSE),IF(AND(teacher_type="TB",career_stage="HP"),VLOOKUP($O47,TBHPI[[Strand]:[Domain]],COLUMNS(TBHPI[[Strand]:[Domain]]),FALSE),"")))),"")</f>
        <v>3</v>
      </c>
      <c r="F47" s="155" t="b">
        <f>AND(COUNTIFS($E$22:$E47,E47,$G$22:$G47,TRUE)=1,$G47)</f>
        <v>0</v>
      </c>
      <c r="G47" s="212" t="b">
        <f>IFERROR(IF(AND(teacher_type="R",career_stage="P"),VLOOKUP($O47,RPI[],COLUMNS(RPI[[Strand]:[Selected]]),FALSE),IF(AND(teacher_type="R",career_stage="HP"),VLOOKUP($O47,RHPI[],COLUMNS(RHPI[[Strand]:[Selected]]),FALSE),IF(AND(teacher_type="TB",career_stage="P"),VLOOKUP($O47,TBPI[],COLUMNS(TBPI[[Strand]:[Selected]]),FALSE),IF(AND(teacher_type="TB",career_stage="HP"),VLOOKUP($O47,TBHPI[],COLUMNS(TBHPI[[Strand]:[Selected]]),FALSE),FALSE)))),FALSE)</f>
        <v>1</v>
      </c>
      <c r="H47" s="156" t="b">
        <f>IFERROR(IF(AND(teacher_type="R",career_stage="P"),AND(COUNTIFS(RPS[Strand],$O47,RPS[QET],H$21)&gt;0,$G47),IF(AND(teacher_type="R",career_stage="HP"),AND(COUNTIFS(RHPS[Strand],$O47,RHPS[QET],H$21)&gt;0,$G47),IF(AND(teacher_type="TB",career_stage="P"),AND(COUNTIFS(TBPS[Strand],$O47,TBPS[QET],H$21)&gt;0,$G47),IF(AND(teacher_type="TB",career_stage="HP"),AND(COUNTIFS(TBHPS[Strand],$O47,TBHPS[QET],H$21)&gt;0,$G47),FALSE)))),FALSE)</f>
        <v>1</v>
      </c>
      <c r="I47" s="156" t="b">
        <f t="shared" si="11"/>
        <v>0</v>
      </c>
      <c r="J47" s="156" t="b">
        <f>IFERROR(IF(AND(teacher_type="R",career_stage="P"),AND(COUNTIFS(RPS[Strand],$O47,RPS[QET],J$21)&gt;0,$G47),IF(AND(teacher_type="R",career_stage="HP"),AND(COUNTIFS(RHPS[Strand],$O47,RHPS[QET],J$21)&gt;0,$G47),IF(AND(teacher_type="TB",career_stage="P"),AND(COUNTIFS(TBPS[Strand],$O47,TBPS[QET],J$21)&gt;0,$G47),IF(AND(teacher_type="TB",career_stage="HP"),AND(COUNTIFS(TBHPS[Strand],$O47,TBHPS[QET],J$21)&gt;0,$G47),FALSE)))),FALSE)</f>
        <v>1</v>
      </c>
      <c r="K47" s="156" t="b">
        <f>IFERROR(IF(AND(teacher_type="R",career_stage="P"),AND(COUNTIFS(RPS[Strand],$O47,RPS[QET],K$21)&gt;0,$G47),IF(AND(teacher_type="R",career_stage="HP"),AND(COUNTIFS(RHPS[Strand],$O47,RHPS[QET],K$21)&gt;0,$G47),IF(AND(teacher_type="TB",career_stage="P"),AND(COUNTIFS(TBPS[Strand],$O47,TBPS[QET],K$21)&gt;0,$G47),IF(AND(teacher_type="TB",career_stage="HP"),AND(COUNTIFS(TBHPS[Strand],$O47,TBHPS[QET],K$21)&gt;0,$G47),FALSE)))),FALSE)</f>
        <v>0</v>
      </c>
      <c r="L47" s="156" t="b">
        <f t="shared" si="12"/>
        <v>1</v>
      </c>
      <c r="M47" s="165" t="str">
        <f t="shared" si="13"/>
        <v/>
      </c>
      <c r="N47" s="48">
        <f>IF($G47,COUNTIF($G$22:$G47,TRUE),"")</f>
        <v>10</v>
      </c>
      <c r="O47" s="48" t="str" cm="1">
        <f t="array" ref="O47">IFERROR(IF(AND(teacher_type="R",career_stage="P"),INDEX(RPI[Strand],$B47),IF(AND(teacher_type="R",career_stage="HP"),INDEX(RHPI[Strand],$B47),IF(AND(teacher_type="TB",career_stage="P"),INDEX(TBPI[Strand],$B47),IF(AND(teacher_type="TB",career_stage="HP"),INDEX(TBHPI[Strand],$B47),"")))),"")</f>
        <v>5.3.2</v>
      </c>
      <c r="P47" s="166" t="str">
        <f>$C$47</f>
        <v>COI</v>
      </c>
      <c r="Q47" s="167">
        <f>IFERROR(IF(AND(teacher_type="R",career_stage="P"),VLOOKUP(O47,RPI[],COLUMNS(RPI[[Strand]:[Weight]]),FALSE), IF(AND(teacher_type="R",career_stage="HP"),VLOOKUP(O47,RHPI[],COLUMNS(RHPI[[Strand]:[Weight]]),FALSE), IF(AND(teacher_type="TB",career_stage="P"),VLOOKUP(O47,TBPI[],COLUMNS(TBPI[[Strand]:[Weight]]),FALSE), IF(AND(teacher_type="TB",career_stage="HP"),VLOOKUP(O47,TBHPI[],COLUMNS(TBHPI[[Strand]:[Weight]]),FALSE),0)))),0)</f>
        <v>7.0000000000000007E-2</v>
      </c>
      <c r="R47" s="168">
        <f>COUNTIFS($D$22:D47,"COI",$G$22:G47,TRUE)</f>
        <v>9</v>
      </c>
      <c r="S47" s="483"/>
      <c r="T47" s="169" t="str">
        <f>IFERROR(IF(LOWER(TRIM(S$20))=LOWER(TRIM(data2!$U$35)),"",IF(AND($G47,$D47="COI",S$12,CZ47),IF(OR(LOWER(TRIM(S$20))=LOWER(TRIM(data2!$U$36)),ISBLANK(S47)),1,IF(career_stage="P",VLOOKUP(S47,P_COT_vlookup,2,FALSE),IF(career_stage="HP",VLOOKUP(S47,HP_COT_vlookup,2,FALSE),""))),"")),"")</f>
        <v/>
      </c>
      <c r="U47" s="460">
        <v>7</v>
      </c>
      <c r="V47" s="170">
        <f>IFERROR(IF(LOWER(TRIM(U$20))=LOWER(TRIM(data2!$U$35)),"",IF(AND($G47,$D47="COI",U$12,DB47),IF(OR(LOWER(TRIM(U$20))=LOWER(TRIM(data2!$U$36)),ISBLANK(U47)),1,IF(career_stage="P",VLOOKUP(U47,P_COT_vlookup,2,FALSE),IF(career_stage="HP",VLOOKUP(U47,HP_COT_vlookup,2,FALSE),""))),"")),"")</f>
        <v>5</v>
      </c>
      <c r="W47" s="483"/>
      <c r="X47" s="169" t="str">
        <f>IFERROR(IF(LOWER(TRIM(W$20))=LOWER(TRIM(data2!$U$35)),"",IF(AND($G47,$D47="COI",W$12,DD47),IF(OR(LOWER(TRIM(W$20))=LOWER(TRIM(data2!$U$36)),ISBLANK(W47)),1,IF(career_stage="P",VLOOKUP(W47,P_COT_vlookup,2,FALSE),IF(career_stage="HP",VLOOKUP(W47,HP_COT_vlookup,2,FALSE),""))),"")),"")</f>
        <v/>
      </c>
      <c r="Y47" s="460">
        <v>7</v>
      </c>
      <c r="Z47" s="170">
        <f>IFERROR(IF(LOWER(TRIM(Y$20))=LOWER(TRIM(data2!$U$35)),"",IF(AND($G47,$D47="COI",Y$12,DF47),IF(OR(LOWER(TRIM(Y$20))=LOWER(TRIM(data2!$U$36)),ISBLANK(Y47)),1,IF(career_stage="P",VLOOKUP(Y47,P_COT_vlookup,2,FALSE),IF(career_stage="HP",VLOOKUP(Y47,HP_COT_vlookup,2,FALSE),""))),"")),"")</f>
        <v>5</v>
      </c>
      <c r="AA47" s="171">
        <f t="shared" si="14"/>
        <v>5</v>
      </c>
      <c r="AB47" s="471">
        <f>IFERROR(IF(NOT(L22),"",VLOOKUP(ROUNDDOWN($AA$47,3),rating_desc_vlookup,3,TRUE)),1)</f>
        <v>5</v>
      </c>
      <c r="AC47" s="462">
        <v>5</v>
      </c>
      <c r="AD47" s="473"/>
      <c r="AE47" s="49">
        <f t="shared" si="2"/>
        <v>5</v>
      </c>
      <c r="AF47" s="49">
        <f t="shared" si="3"/>
        <v>0.35</v>
      </c>
      <c r="AG47" s="172" t="str">
        <f t="shared" si="4"/>
        <v>Outstanding</v>
      </c>
      <c r="AI47" s="196" t="b">
        <f t="shared" si="5"/>
        <v>1</v>
      </c>
      <c r="AJ47" s="154" t="b">
        <v>1</v>
      </c>
      <c r="AK47" s="154" t="b">
        <v>1</v>
      </c>
      <c r="AL47" s="196" t="b">
        <f t="shared" si="15"/>
        <v>1</v>
      </c>
      <c r="AM47" s="154" t="b">
        <v>1</v>
      </c>
      <c r="AN47" s="196" t="b">
        <f t="shared" si="15"/>
        <v>1</v>
      </c>
      <c r="AO47" s="154" t="b">
        <v>1</v>
      </c>
      <c r="AP47" s="196" t="b">
        <f t="shared" si="15"/>
        <v>1</v>
      </c>
      <c r="AQ47" s="154" t="b">
        <v>1</v>
      </c>
      <c r="AR47" s="196" t="b">
        <f t="shared" si="15"/>
        <v>1</v>
      </c>
      <c r="AS47" s="154" t="b">
        <v>1</v>
      </c>
      <c r="AT47" s="154" t="b">
        <v>1</v>
      </c>
      <c r="AU47" s="196" t="b">
        <f t="shared" si="6"/>
        <v>1</v>
      </c>
      <c r="AV47" s="196" t="b">
        <f t="shared" si="7"/>
        <v>1</v>
      </c>
      <c r="AW47" s="196" t="b">
        <f t="shared" si="8"/>
        <v>1</v>
      </c>
      <c r="AX47" s="47" t="b">
        <v>1</v>
      </c>
      <c r="AY47" s="47" t="b">
        <v>1</v>
      </c>
      <c r="AZ47" s="47" t="b">
        <v>1</v>
      </c>
      <c r="BF47" s="154" t="str">
        <f t="shared" si="9"/>
        <v>5.3.2</v>
      </c>
      <c r="BG47" s="196" t="b" cm="1">
        <f t="array" ref="BG47">IFERROR(IF(OR(LOWER(TRIM(S$20))=LOWER(TRIM(data2!$U$35)),LOWER(TRIM(S$20))=LOWER(TRIM(data2!$U$36))),FALSE,AND(S$12,IF(AND($G47,$D47="COI"),
IF(AND(teacher_type="R",career_stage="P"),VLOOKUP($BF47,RPI[],COLUMN(RPI[cot1]),FALSE),
IF(AND(teacher_type="R",career_stage="HP"),VLOOKUP($BF47,RHPI[],COLUMN(RHPI[cot1]),FALSE),
IF(AND(teacher_type="TB",career_stage="P"),VLOOKUP($BF47,TBPI[],COLUMN(TBPI[cot1]),FALSE),
IF(AND(teacher_type="TB",career_stage="HP"),VLOOKUP($BF47,TBHPI[],COLUMN(TBHPI[cot1]),FALSE),FALSE)))),
FALSE))),FALSE)</f>
        <v>0</v>
      </c>
      <c r="BH47" s="154" t="b">
        <v>0</v>
      </c>
      <c r="BI47" s="196" t="b" cm="1">
        <f t="array" ref="BI47">IFERROR(IF(OR(LOWER(TRIM(U$20))=LOWER(TRIM(data2!$U$35)),LOWER(TRIM(U$20))=LOWER(TRIM(data2!$U$36))),FALSE,AND(U$12,IF(AND($G47,$D47="COI"),
IF(AND(teacher_type="R",career_stage="P"),VLOOKUP($BF47,RPI[],COLUMN(RPI[cot2]),FALSE),
IF(AND(teacher_type="R",career_stage="HP"),VLOOKUP($BF47,RHPI[],COLUMN(RHPI[cot2]),FALSE),
IF(AND(teacher_type="TB",career_stage="P"),VLOOKUP($BF47,TBPI[],COLUMN(TBPI[cot2]),FALSE),
IF(AND(teacher_type="TB",career_stage="HP"),VLOOKUP($BF47,TBHPI[],COLUMN(TBHPI[cot2]),FALSE),FALSE)))),
FALSE))),FALSE)</f>
        <v>1</v>
      </c>
      <c r="BJ47" s="154" t="b">
        <v>0</v>
      </c>
      <c r="BK47" s="196" t="b" cm="1">
        <f t="array" ref="BK47">IFERROR(IF(OR(LOWER(TRIM(W$20))=LOWER(TRIM(data2!$U$35)),LOWER(TRIM(W$20))=LOWER(TRIM(data2!$U$36))),FALSE,AND(W$12,IF(AND($G47,$D47="COI"),
IF(AND(teacher_type="R",career_stage="P"),VLOOKUP($BF47,RPI[],COLUMN(RPI[cot3]),FALSE),
IF(AND(teacher_type="R",career_stage="HP"),VLOOKUP($BF47,RHPI[],COLUMN(RHPI[cot3]),FALSE),
IF(AND(teacher_type="TB",career_stage="P"),VLOOKUP($BF47,TBPI[],COLUMN(TBPI[cot3]),FALSE),
IF(AND(teacher_type="TB",career_stage="HP"),VLOOKUP($BF47,TBHPI[],COLUMN(TBHPI[cot3]),FALSE),FALSE)))),
FALSE))),FALSE)</f>
        <v>0</v>
      </c>
      <c r="BL47" s="154" t="b">
        <v>0</v>
      </c>
      <c r="BM47" s="196" t="b" cm="1">
        <f t="array" ref="BM47">IFERROR(IF(OR(LOWER(TRIM(Y$20))=LOWER(TRIM(data2!$U$35)),LOWER(TRIM(Y$20))=LOWER(TRIM(data2!$U$36))),FALSE,AND(Y$12,IF(AND($G47,$D47="COI"),
IF(AND(teacher_type="R",career_stage="P"),VLOOKUP($BF47,RPI[],COLUMN(RPI[cot4]),FALSE),
IF(AND(teacher_type="R",career_stage="HP"),VLOOKUP($BF47,RHPI[],COLUMN(RHPI[cot4]),FALSE),
IF(AND(teacher_type="TB",career_stage="P"),VLOOKUP($BF47,TBPI[],COLUMN(TBPI[cot4]),FALSE),
IF(AND(teacher_type="TB",career_stage="HP"),VLOOKUP($BF47,TBHPI[],COLUMN(TBHPI[cot4]),FALSE),FALSE)))),
FALSE))),FALSE)</f>
        <v>1</v>
      </c>
      <c r="BN47" s="154" t="b">
        <v>0</v>
      </c>
      <c r="BO47" s="150">
        <f t="shared" si="16"/>
        <v>2</v>
      </c>
      <c r="BP47" s="196" t="b">
        <f t="shared" si="17"/>
        <v>1</v>
      </c>
      <c r="BQ47" s="196" t="b">
        <f>IFERROR(IF(OR(NOT(CZ47),LOWER(TRIM(S$20))=LOWER(TRIM(data2!$U$35))),TRUE,IF(AND(CZ47,LOWER(TRIM(S$20))=LOWER(TRIM(data2!$U$36))),FALSE)),FALSE)</f>
        <v>1</v>
      </c>
      <c r="BR47" s="196" t="b">
        <f t="shared" si="18"/>
        <v>0</v>
      </c>
      <c r="BS47" s="196" t="b">
        <f>IFERROR(IF(OR(NOT(DB47),LOWER(TRIM(U$20))=LOWER(TRIM(data2!$U$35))),TRUE,IF(AND(DB47,LOWER(TRIM(U$20))=LOWER(TRIM(data2!$U$36))),FALSE)),FALSE)</f>
        <v>0</v>
      </c>
      <c r="BT47" s="196" t="b">
        <f t="shared" si="19"/>
        <v>1</v>
      </c>
      <c r="BU47" s="196" t="b">
        <f>IFERROR(IF(OR(NOT(DD47),LOWER(TRIM(W$20))=LOWER(TRIM(data2!$U$35))),TRUE,IF(AND(DD47,LOWER(TRIM(W$20))=LOWER(TRIM(data2!$U$36))),FALSE)),FALSE)</f>
        <v>1</v>
      </c>
      <c r="BV47" s="196" t="b">
        <f t="shared" si="20"/>
        <v>0</v>
      </c>
      <c r="BW47" s="196" t="b">
        <f>IFERROR(IF(OR(NOT(DF47),LOWER(TRIM(Y$20))=LOWER(TRIM(data2!$U$35))),TRUE,IF(AND(DF47,LOWER(TRIM(Y$20))=LOWER(TRIM(data2!$U$36))),FALSE)),FALSE)</f>
        <v>0</v>
      </c>
      <c r="BY47" s="154" t="str">
        <f t="shared" si="21"/>
        <v/>
      </c>
      <c r="BZ47" s="154" t="str">
        <f t="shared" si="22"/>
        <v>5.3.2-E-COI</v>
      </c>
      <c r="CA47" s="154" t="str">
        <f t="shared" si="23"/>
        <v/>
      </c>
      <c r="CB47" s="154" t="str">
        <f t="shared" si="24"/>
        <v>CE47:CI47</v>
      </c>
      <c r="CC47" s="154" t="str">
        <f t="shared" si="25"/>
        <v>CK47:CO47</v>
      </c>
      <c r="CD47" s="154" t="str">
        <f t="shared" si="26"/>
        <v>CQ47:CU47</v>
      </c>
      <c r="CE47" s="359" cm="1">
        <f t="array" ref="CE47">IFERROR(IF($BY47&lt;&gt;"",
IF(AND(teacher_type="R",career_stage="P"),
    IF(INDEX(RPS[[Outstanding]:[Poor]],MATCH($BY47,RPS[[helper]:[helper]],0),CE$19)&lt;&gt;"",CE$20,""),
IF(AND(teacher_type="R",career_stage="HP"),
    IF(INDEX(RHPS[[Outstanding]:[Poor]],MATCH($BY47,RHPS[[helper]:[helper]],0),CE$19)&lt;&gt;"",CE$20,""),
IF(AND(teacher_type="TB",career_stage="P"),
    IF(INDEX(TBPS[[Outstanding]:[Poor]],MATCH($BY47,TBPS[[helper]:[helper]],0),CE$19)&lt;&gt;"",CE$20,""),
IF(AND(teacher_type="TB",career_stage="HP"),
    IF(INDEX(TBHPS[[Outstanding]:[Poor]],MATCH($BY47,TBHPS[[helper]:[helper]],0),CE$19)&lt;&gt;"",CE$20,""),
CE$20)))),
CE$20),CE$20)</f>
        <v>5</v>
      </c>
      <c r="CF47" s="359" cm="1">
        <f t="array" ref="CF47">IFERROR(IF($BY47&lt;&gt;"",
IF(AND(teacher_type="R",career_stage="P"),
    IF(INDEX(RPS[[Outstanding]:[Poor]],MATCH($BY47,RPS[[helper]:[helper]],0),CF$19)&lt;&gt;"",CF$20,""),
IF(AND(teacher_type="R",career_stage="HP"),
    IF(INDEX(RHPS[[Outstanding]:[Poor]],MATCH($BY47,RHPS[[helper]:[helper]],0),CF$19)&lt;&gt;"",CF$20,""),
IF(AND(teacher_type="TB",career_stage="P"),
    IF(INDEX(TBPS[[Outstanding]:[Poor]],MATCH($BY47,TBPS[[helper]:[helper]],0),CF$19)&lt;&gt;"",CF$20,""),
IF(AND(teacher_type="TB",career_stage="HP"),
    IF(INDEX(TBHPS[[Outstanding]:[Poor]],MATCH($BY47,TBHPS[[helper]:[helper]],0),CF$19)&lt;&gt;"",CF$20,""),
CF$20)))),
CF$20),CF$20)</f>
        <v>4</v>
      </c>
      <c r="CG47" s="359" cm="1">
        <f t="array" ref="CG47">IFERROR(IF($BY47&lt;&gt;"",
IF(AND(teacher_type="R",career_stage="P"),
    IF(INDEX(RPS[[Outstanding]:[Poor]],MATCH($BY47,RPS[[helper]:[helper]],0),CG$19)&lt;&gt;"",CG$20,""),
IF(AND(teacher_type="R",career_stage="HP"),
    IF(INDEX(RHPS[[Outstanding]:[Poor]],MATCH($BY47,RHPS[[helper]:[helper]],0),CG$19)&lt;&gt;"",CG$20,""),
IF(AND(teacher_type="TB",career_stage="P"),
    IF(INDEX(TBPS[[Outstanding]:[Poor]],MATCH($BY47,TBPS[[helper]:[helper]],0),CG$19)&lt;&gt;"",CG$20,""),
IF(AND(teacher_type="TB",career_stage="HP"),
    IF(INDEX(TBHPS[[Outstanding]:[Poor]],MATCH($BY47,TBHPS[[helper]:[helper]],0),CG$19)&lt;&gt;"",CG$20,""),
CG$20)))),
CG$20),CG$20)</f>
        <v>3</v>
      </c>
      <c r="CH47" s="359" cm="1">
        <f t="array" ref="CH47">IFERROR(IF($BY47&lt;&gt;"",
IF(AND(teacher_type="R",career_stage="P"),
    IF(INDEX(RPS[[Outstanding]:[Poor]],MATCH($BY47,RPS[[helper]:[helper]],0),CH$19)&lt;&gt;"",CH$20,""),
IF(AND(teacher_type="R",career_stage="HP"),
    IF(INDEX(RHPS[[Outstanding]:[Poor]],MATCH($BY47,RHPS[[helper]:[helper]],0),CH$19)&lt;&gt;"",CH$20,""),
IF(AND(teacher_type="TB",career_stage="P"),
    IF(INDEX(TBPS[[Outstanding]:[Poor]],MATCH($BY47,TBPS[[helper]:[helper]],0),CH$19)&lt;&gt;"",CH$20,""),
IF(AND(teacher_type="TB",career_stage="HP"),
    IF(INDEX(TBHPS[[Outstanding]:[Poor]],MATCH($BY47,TBHPS[[helper]:[helper]],0),CH$19)&lt;&gt;"",CH$20,""),
CH$20)))),
CH$20),CH$20)</f>
        <v>2</v>
      </c>
      <c r="CI47" s="359" cm="1">
        <f t="array" ref="CI47">IFERROR(IF($BY47&lt;&gt;"",
IF(AND(teacher_type="R",career_stage="P"),
    IF(INDEX(RPS[[Outstanding]:[Poor]],MATCH($BY47,RPS[[helper]:[helper]],0),CI$19)&lt;&gt;"",CI$20,""),
IF(AND(teacher_type="R",career_stage="HP"),
    IF(INDEX(RHPS[[Outstanding]:[Poor]],MATCH($BY47,RHPS[[helper]:[helper]],0),CI$19)&lt;&gt;"",CI$20,""),
IF(AND(teacher_type="TB",career_stage="P"),
    IF(INDEX(TBPS[[Outstanding]:[Poor]],MATCH($BY47,TBPS[[helper]:[helper]],0),CI$19)&lt;&gt;"",CI$20,""),
IF(AND(teacher_type="TB",career_stage="HP"),
    IF(INDEX(TBHPS[[Outstanding]:[Poor]],MATCH($BY47,TBHPS[[helper]:[helper]],0),CI$19)&lt;&gt;"",CI$20,""),
CI$20)))),
CI$20),CI$20)</f>
        <v>1</v>
      </c>
      <c r="CJ47" s="360">
        <f t="shared" si="27"/>
        <v>5</v>
      </c>
      <c r="CK47" s="359" cm="1">
        <f t="array" ref="CK47">IFERROR(IF($BZ47&lt;&gt;"",
IF(AND(teacher_type="R",career_stage="P"),
    IF(INDEX(RPS[[Outstanding]:[Poor]],MATCH($BZ47,RPS[[helper]:[helper]],0),CK$19)&lt;&gt;"",CK$20,""),
IF(AND(teacher_type="R",career_stage="HP"),
    IF(INDEX(RHPS[[Outstanding]:[Poor]],MATCH($BZ47,RHPS[[helper]:[helper]],0),CK$19)&lt;&gt;"",CK$20,""),
IF(AND(teacher_type="TB",career_stage="P"),
    IF(INDEX(TBPS[[Outstanding]:[Poor]],MATCH($BZ47,TBPS[[helper]:[helper]],0),CK$19)&lt;&gt;"",CK$20,""),
IF(AND(teacher_type="TB",career_stage="HP"),
    IF(INDEX(TBHPS[[Outstanding]:[Poor]],MATCH($BZ47,TBHPS[[helper]:[helper]],0),CK$19)&lt;&gt;"",CK$20,""),
CK$20)))),
CK$20),CK$20)</f>
        <v>5</v>
      </c>
      <c r="CL47" s="359" t="str" cm="1">
        <f t="array" ref="CL47">IFERROR(IF($BZ47&lt;&gt;"",
IF(AND(teacher_type="R",career_stage="P"),
    IF(INDEX(RPS[[Outstanding]:[Poor]],MATCH($BZ47,RPS[[helper]:[helper]],0),CL$19)&lt;&gt;"",CL$20,""),
IF(AND(teacher_type="R",career_stage="HP"),
    IF(INDEX(RHPS[[Outstanding]:[Poor]],MATCH($BZ47,RHPS[[helper]:[helper]],0),CL$19)&lt;&gt;"",CL$20,""),
IF(AND(teacher_type="TB",career_stage="P"),
    IF(INDEX(TBPS[[Outstanding]:[Poor]],MATCH($BZ47,TBPS[[helper]:[helper]],0),CL$19)&lt;&gt;"",CL$20,""),
IF(AND(teacher_type="TB",career_stage="HP"),
    IF(INDEX(TBHPS[[Outstanding]:[Poor]],MATCH($BZ47,TBHPS[[helper]:[helper]],0),CL$19)&lt;&gt;"",CL$20,""),
CL$20)))),
CL$20),CL$20)</f>
        <v/>
      </c>
      <c r="CM47" s="359" cm="1">
        <f t="array" ref="CM47">IFERROR(IF($BZ47&lt;&gt;"",
IF(AND(teacher_type="R",career_stage="P"),
    IF(INDEX(RPS[[Outstanding]:[Poor]],MATCH($BZ47,RPS[[helper]:[helper]],0),CM$19)&lt;&gt;"",CM$20,""),
IF(AND(teacher_type="R",career_stage="HP"),
    IF(INDEX(RHPS[[Outstanding]:[Poor]],MATCH($BZ47,RHPS[[helper]:[helper]],0),CM$19)&lt;&gt;"",CM$20,""),
IF(AND(teacher_type="TB",career_stage="P"),
    IF(INDEX(TBPS[[Outstanding]:[Poor]],MATCH($BZ47,TBPS[[helper]:[helper]],0),CM$19)&lt;&gt;"",CM$20,""),
IF(AND(teacher_type="TB",career_stage="HP"),
    IF(INDEX(TBHPS[[Outstanding]:[Poor]],MATCH($BZ47,TBHPS[[helper]:[helper]],0),CM$19)&lt;&gt;"",CM$20,""),
CM$20)))),
CM$20),CM$20)</f>
        <v>3</v>
      </c>
      <c r="CN47" s="359" t="str" cm="1">
        <f t="array" ref="CN47">IFERROR(IF($BZ47&lt;&gt;"",
IF(AND(teacher_type="R",career_stage="P"),
    IF(INDEX(RPS[[Outstanding]:[Poor]],MATCH($BZ47,RPS[[helper]:[helper]],0),CN$19)&lt;&gt;"",CN$20,""),
IF(AND(teacher_type="R",career_stage="HP"),
    IF(INDEX(RHPS[[Outstanding]:[Poor]],MATCH($BZ47,RHPS[[helper]:[helper]],0),CN$19)&lt;&gt;"",CN$20,""),
IF(AND(teacher_type="TB",career_stage="P"),
    IF(INDEX(TBPS[[Outstanding]:[Poor]],MATCH($BZ47,TBPS[[helper]:[helper]],0),CN$19)&lt;&gt;"",CN$20,""),
IF(AND(teacher_type="TB",career_stage="HP"),
    IF(INDEX(TBHPS[[Outstanding]:[Poor]],MATCH($BZ47,TBHPS[[helper]:[helper]],0),CN$19)&lt;&gt;"",CN$20,""),
CN$20)))),
CN$20),CN$20)</f>
        <v/>
      </c>
      <c r="CO47" s="359" cm="1">
        <f t="array" ref="CO47">IFERROR(IF($BZ47&lt;&gt;"",
IF(AND(teacher_type="R",career_stage="P"),
    IF(INDEX(RPS[[Outstanding]:[Poor]],MATCH($BZ47,RPS[[helper]:[helper]],0),CO$19)&lt;&gt;"",CO$20,""),
IF(AND(teacher_type="R",career_stage="HP"),
    IF(INDEX(RHPS[[Outstanding]:[Poor]],MATCH($BZ47,RHPS[[helper]:[helper]],0),CO$19)&lt;&gt;"",CO$20,""),
IF(AND(teacher_type="TB",career_stage="P"),
    IF(INDEX(TBPS[[Outstanding]:[Poor]],MATCH($BZ47,TBPS[[helper]:[helper]],0),CO$19)&lt;&gt;"",CO$20,""),
IF(AND(teacher_type="TB",career_stage="HP"),
    IF(INDEX(TBHPS[[Outstanding]:[Poor]],MATCH($BZ47,TBHPS[[helper]:[helper]],0),CO$19)&lt;&gt;"",CO$20,""),
CO$20)))),
CO$20),CO$20)</f>
        <v>1</v>
      </c>
      <c r="CP47" s="360">
        <f t="shared" si="28"/>
        <v>3</v>
      </c>
      <c r="CQ47" s="359" cm="1">
        <f t="array" ref="CQ47">IFERROR(IF($CA47&lt;&gt;"",
IF(AND(teacher_type="R",career_stage="P"),
    IF(INDEX(RPS[[Outstanding]:[Poor]],MATCH($CA47,RPS[[helper]:[helper]],0),CQ$19)&lt;&gt;"",CQ$20,""),
IF(AND(teacher_type="R",career_stage="HP"),
    IF(INDEX(RHPS[[Outstanding]:[Poor]],MATCH($CA47,RHPS[[helper]:[helper]],0),CQ$19)&lt;&gt;"",CQ$20,""),
IF(AND(teacher_type="TB",career_stage="P"),
    IF(INDEX(TBPS[[Outstanding]:[Poor]],MATCH($CA47,TBPS[[helper]:[helper]],0),CQ$19)&lt;&gt;"",CQ$20,""),
IF(AND(teacher_type="TB",career_stage="HP"),
    IF(INDEX(TBHPS[[Outstanding]:[Poor]],MATCH($CA47,TBHPS[[helper]:[helper]],0),CQ$19)&lt;&gt;"",CQ$20,""),
CQ$20)))),
CQ$20),CQ$20)</f>
        <v>5</v>
      </c>
      <c r="CR47" s="359" cm="1">
        <f t="array" ref="CR47">IFERROR(IF($CA47&lt;&gt;"",
IF(AND(teacher_type="R",career_stage="P"),
    IF(INDEX(RPS[[Outstanding]:[Poor]],MATCH($CA47,RPS[[helper]:[helper]],0),CR$19)&lt;&gt;"",CR$20,""),
IF(AND(teacher_type="R",career_stage="HP"),
    IF(INDEX(RHPS[[Outstanding]:[Poor]],MATCH($CA47,RHPS[[helper]:[helper]],0),CR$19)&lt;&gt;"",CR$20,""),
IF(AND(teacher_type="TB",career_stage="P"),
    IF(INDEX(TBPS[[Outstanding]:[Poor]],MATCH($CA47,TBPS[[helper]:[helper]],0),CR$19)&lt;&gt;"",CR$20,""),
IF(AND(teacher_type="TB",career_stage="HP"),
    IF(INDEX(TBHPS[[Outstanding]:[Poor]],MATCH($CA47,TBHPS[[helper]:[helper]],0),CR$19)&lt;&gt;"",CR$20,""),
CR$20)))),
CR$20),CR$20)</f>
        <v>4</v>
      </c>
      <c r="CS47" s="359" cm="1">
        <f t="array" ref="CS47">IFERROR(IF($CA47&lt;&gt;"",
IF(AND(teacher_type="R",career_stage="P"),
    IF(INDEX(RPS[[Outstanding]:[Poor]],MATCH($CA47,RPS[[helper]:[helper]],0),CS$19)&lt;&gt;"",CS$20,""),
IF(AND(teacher_type="R",career_stage="HP"),
    IF(INDEX(RHPS[[Outstanding]:[Poor]],MATCH($CA47,RHPS[[helper]:[helper]],0),CS$19)&lt;&gt;"",CS$20,""),
IF(AND(teacher_type="TB",career_stage="P"),
    IF(INDEX(TBPS[[Outstanding]:[Poor]],MATCH($CA47,TBPS[[helper]:[helper]],0),CS$19)&lt;&gt;"",CS$20,""),
IF(AND(teacher_type="TB",career_stage="HP"),
    IF(INDEX(TBHPS[[Outstanding]:[Poor]],MATCH($CA47,TBHPS[[helper]:[helper]],0),CS$19)&lt;&gt;"",CS$20,""),
CS$20)))),
CS$20),CS$20)</f>
        <v>3</v>
      </c>
      <c r="CT47" s="359" cm="1">
        <f t="array" ref="CT47">IFERROR(IF($CA47&lt;&gt;"",
IF(AND(teacher_type="R",career_stage="P"),
    IF(INDEX(RPS[[Outstanding]:[Poor]],MATCH($CA47,RPS[[helper]:[helper]],0),CT$19)&lt;&gt;"",CT$20,""),
IF(AND(teacher_type="R",career_stage="HP"),
    IF(INDEX(RHPS[[Outstanding]:[Poor]],MATCH($CA47,RHPS[[helper]:[helper]],0),CT$19)&lt;&gt;"",CT$20,""),
IF(AND(teacher_type="TB",career_stage="P"),
    IF(INDEX(TBPS[[Outstanding]:[Poor]],MATCH($CA47,TBPS[[helper]:[helper]],0),CT$19)&lt;&gt;"",CT$20,""),
IF(AND(teacher_type="TB",career_stage="HP"),
    IF(INDEX(TBHPS[[Outstanding]:[Poor]],MATCH($CA47,TBHPS[[helper]:[helper]],0),CT$19)&lt;&gt;"",CT$20,""),
CT$20)))),
CT$20),CT$20)</f>
        <v>2</v>
      </c>
      <c r="CU47" s="359" cm="1">
        <f t="array" ref="CU47">IFERROR(IF($CA47&lt;&gt;"",
IF(AND(teacher_type="R",career_stage="P"),
    IF(INDEX(RPS[[Outstanding]:[Poor]],MATCH($CA47,RPS[[helper]:[helper]],0),CU$19)&lt;&gt;"",CU$20,""),
IF(AND(teacher_type="R",career_stage="HP"),
    IF(INDEX(RHPS[[Outstanding]:[Poor]],MATCH($CA47,RHPS[[helper]:[helper]],0),CU$19)&lt;&gt;"",CU$20,""),
IF(AND(teacher_type="TB",career_stage="P"),
    IF(INDEX(TBPS[[Outstanding]:[Poor]],MATCH($CA47,TBPS[[helper]:[helper]],0),CU$19)&lt;&gt;"",CU$20,""),
IF(AND(teacher_type="TB",career_stage="HP"),
    IF(INDEX(TBHPS[[Outstanding]:[Poor]],MATCH($CA47,TBHPS[[helper]:[helper]],0),CU$19)&lt;&gt;"",CU$20,""),
CU$20)))),
CU$20),CU$20)</f>
        <v>1</v>
      </c>
      <c r="CV47" s="360">
        <f t="shared" si="29"/>
        <v>5</v>
      </c>
      <c r="CY47" s="443" t="b" cm="1">
        <f t="array" ref="CY47">IFERROR(AND(S$12,IF(AND($G47,$D47="COI"),
IF(AND(teacher_type="R",career_stage="P"),VLOOKUP($BF47,RPI[],COLUMN(RPI[cot1]),FALSE),
IF(AND(teacher_type="R",career_stage="HP"),VLOOKUP($BF47,RHPI[],COLUMN(RHPI[cot1]),FALSE),
IF(AND(teacher_type="TB",career_stage="P"),VLOOKUP($BF47,TBPI[],COLUMN(TBPI[cot1]),FALSE),
IF(AND(teacher_type="TB",career_stage="HP"),VLOOKUP($BF47,TBHPI[],COLUMN(TBHPI[cot1]),FALSE),FALSE)))),
FALSE)),FALSE)</f>
        <v>0</v>
      </c>
      <c r="CZ47" s="443" t="b">
        <f t="shared" si="30"/>
        <v>0</v>
      </c>
      <c r="DA47" s="443" t="b" cm="1">
        <f t="array" ref="DA47">IFERROR(AND(U$12,IF(AND($G47,$D47="COI"),
IF(AND(teacher_type="R",career_stage="P"),VLOOKUP($BF47,RPI[],COLUMN(RPI[cot2]),FALSE),
IF(AND(teacher_type="R",career_stage="HP"),VLOOKUP($BF47,RHPI[],COLUMN(RHPI[cot2]),FALSE),
IF(AND(teacher_type="TB",career_stage="P"),VLOOKUP($BF47,TBPI[],COLUMN(TBPI[cot2]),FALSE),
IF(AND(teacher_type="TB",career_stage="HP"),VLOOKUP($BF47,TBHPI[],COLUMN(TBHPI[cot2]),FALSE),FALSE)))),
FALSE)),FALSE)</f>
        <v>1</v>
      </c>
      <c r="DB47" s="443" t="b">
        <f t="shared" si="31"/>
        <v>1</v>
      </c>
      <c r="DC47" s="443" t="b" cm="1">
        <f t="array" ref="DC47">IFERROR(AND(W$12,IF(AND($G47,$D47="COI"),
IF(AND(teacher_type="R",career_stage="P"),VLOOKUP($BF47,RPI[],COLUMN(RPI[cot3]),FALSE),
IF(AND(teacher_type="R",career_stage="HP"),VLOOKUP($BF47,RHPI[],COLUMN(RHPI[cot3]),FALSE),
IF(AND(teacher_type="TB",career_stage="P"),VLOOKUP($BF47,TBPI[],COLUMN(TBPI[cot3]),FALSE),
IF(AND(teacher_type="TB",career_stage="HP"),VLOOKUP($BF47,TBHPI[],COLUMN(TBHPI[cot3]),FALSE),FALSE)))),
FALSE)),FALSE)</f>
        <v>0</v>
      </c>
      <c r="DD47" s="443" t="b">
        <f t="shared" si="32"/>
        <v>0</v>
      </c>
      <c r="DE47" s="443" t="b" cm="1">
        <f t="array" ref="DE47">IFERROR(AND(Y$12,IF(AND($G47,$D47="COI"),
IF(AND(teacher_type="R",career_stage="P"),VLOOKUP($BF47,RPI[],COLUMN(RPI[cot4]),FALSE),
IF(AND(teacher_type="R",career_stage="HP"),VLOOKUP($BF47,RHPI[],COLUMN(RHPI[cot4]),FALSE),
IF(AND(teacher_type="TB",career_stage="P"),VLOOKUP($BF47,TBPI[],COLUMN(TBPI[cot4]),FALSE),
IF(AND(teacher_type="TB",career_stage="HP"),VLOOKUP($BF47,TBHPI[],COLUMN(TBHPI[cot4]),FALSE),FALSE)))),
FALSE)),FALSE)</f>
        <v>1</v>
      </c>
      <c r="DF47" s="443" t="b">
        <f t="shared" si="33"/>
        <v>1</v>
      </c>
      <c r="DG47" s="150">
        <f t="shared" si="34"/>
        <v>2</v>
      </c>
      <c r="DH47" s="154">
        <f>IF(AND(CY47,LOWER(TRIM(S$20))=LOWER(TRIM(data2!$U$35))),1,0) +
IF(AND(DA47,LOWER(TRIM(U$20))=LOWER(TRIM(data2!$U$35))),1,0) +
IF(AND(DC47,LOWER(TRIM(W$20))=LOWER(TRIM(data2!$U$35))),1,0) +
IF(AND(DE47,LOWER(TRIM(Y$20))=LOWER(TRIM(data2!$U$35))),1,0)</f>
        <v>0</v>
      </c>
      <c r="DJ47" s="154">
        <f t="shared" si="35"/>
        <v>2</v>
      </c>
    </row>
    <row r="48" spans="1:114" s="154" customFormat="1" ht="24.95" hidden="1" customHeight="1" x14ac:dyDescent="0.25">
      <c r="A48" s="156"/>
      <c r="B48" s="154">
        <v>27</v>
      </c>
      <c r="C48" s="150" t="str">
        <f>IFERROR(IF(AND(teacher_type="R",career_stage="P"),VLOOKUP(O48,RPI[],COLUMNS(RPI[[Strand]:[admin_selected_coi_ncoi]]),FALSE),IF(AND(teacher_type="R",career_stage="HP"),VLOOKUP(O48,RHPI[],COLUMNS(RHPI[[Strand]:[admin_selected_coi_ncoi]]),FALSE),IF(AND(teacher_type="TB",career_stage="P"),VLOOKUP(O48,TBPI[],COLUMNS(TBPI[[Strand]:[admin_selected_coi_ncoi]]),FALSE),IF(AND(teacher_type="TB",career_stage="HP"),VLOOKUP(O48,TBHPI[],COLUMNS(TBHPI[[Strand]:[admin_selected_coi_ncoi]]),FALSE),"NCOI")))),"NCOI")</f>
        <v>NCOI</v>
      </c>
      <c r="D48" s="150" t="str">
        <f t="shared" si="10"/>
        <v/>
      </c>
      <c r="E48" s="150">
        <f>IFERROR(IF(AND(teacher_type="R",career_stage="P"),VLOOKUP($O48,RPI[[Strand]:[Domain]],COLUMNS(RPI[[Strand]:[Domain]]),FALSE),IF(AND(teacher_type="R",career_stage="HP"),VLOOKUP($O48,RHPI[[Strand]:[Domain]],COLUMNS(RHPI[[Strand]:[Domain]]),FALSE),IF(AND(teacher_type="TB",career_stage="P"),VLOOKUP($O48,TBPI[[Strand]:[Domain]],COLUMNS(TBPI[[Strand]:[Domain]]),FALSE),IF(AND(teacher_type="TB",career_stage="HP"),VLOOKUP($O48,TBHPI[[Strand]:[Domain]],COLUMNS(TBHPI[[Strand]:[Domain]]),FALSE),"")))),"")</f>
        <v>4</v>
      </c>
      <c r="F48" s="155" t="b">
        <f>AND(COUNTIFS($E$22:$E48,E48,$G$22:$G48,TRUE)=1,$G48)</f>
        <v>0</v>
      </c>
      <c r="G48" s="212" t="b">
        <f>IFERROR(IF(AND(teacher_type="R",career_stage="P"),VLOOKUP($O48,RPI[],COLUMNS(RPI[[Strand]:[Selected]]),FALSE),IF(AND(teacher_type="R",career_stage="HP"),VLOOKUP($O48,RHPI[],COLUMNS(RHPI[[Strand]:[Selected]]),FALSE),IF(AND(teacher_type="TB",career_stage="P"),VLOOKUP($O48,TBPI[],COLUMNS(TBPI[[Strand]:[Selected]]),FALSE),IF(AND(teacher_type="TB",career_stage="HP"),VLOOKUP($O48,TBHPI[],COLUMNS(TBHPI[[Strand]:[Selected]]),FALSE),FALSE)))),FALSE)</f>
        <v>0</v>
      </c>
      <c r="H48" s="156" t="b">
        <f>IFERROR(IF(AND(teacher_type="R",career_stage="P"),AND(COUNTIFS(RPS[Strand],$O48,RPS[QET],H$21)&gt;0,$G48),IF(AND(teacher_type="R",career_stage="HP"),AND(COUNTIFS(RHPS[Strand],$O48,RHPS[QET],H$21)&gt;0,$G48),IF(AND(teacher_type="TB",career_stage="P"),AND(COUNTIFS(TBPS[Strand],$O48,TBPS[QET],H$21)&gt;0,$G48),IF(AND(teacher_type="TB",career_stage="HP"),AND(COUNTIFS(TBHPS[Strand],$O48,TBHPS[QET],H$21)&gt;0,$G48),FALSE)))),FALSE)</f>
        <v>0</v>
      </c>
      <c r="I48" s="156" t="b">
        <f t="shared" si="11"/>
        <v>0</v>
      </c>
      <c r="J48" s="156" t="b">
        <f>IFERROR(IF(AND(teacher_type="R",career_stage="P"),AND(COUNTIFS(RPS[Strand],$O48,RPS[QET],J$21)&gt;0,$G48),IF(AND(teacher_type="R",career_stage="HP"),AND(COUNTIFS(RHPS[Strand],$O48,RHPS[QET],J$21)&gt;0,$G48),IF(AND(teacher_type="TB",career_stage="P"),AND(COUNTIFS(TBPS[Strand],$O48,TBPS[QET],J$21)&gt;0,$G48),IF(AND(teacher_type="TB",career_stage="HP"),AND(COUNTIFS(TBHPS[Strand],$O48,TBHPS[QET],J$21)&gt;0,$G48),FALSE)))),FALSE)</f>
        <v>0</v>
      </c>
      <c r="K48" s="156" t="b">
        <f>IFERROR(IF(AND(teacher_type="R",career_stage="P"),AND(COUNTIFS(RPS[Strand],$O48,RPS[QET],K$21)&gt;0,$G48),IF(AND(teacher_type="R",career_stage="HP"),AND(COUNTIFS(RHPS[Strand],$O48,RHPS[QET],K$21)&gt;0,$G48),IF(AND(teacher_type="TB",career_stage="P"),AND(COUNTIFS(TBPS[Strand],$O48,TBPS[QET],K$21)&gt;0,$G48),IF(AND(teacher_type="TB",career_stage="HP"),AND(COUNTIFS(TBHPS[Strand],$O48,TBHPS[QET],K$21)&gt;0,$G48),FALSE)))),FALSE)</f>
        <v>0</v>
      </c>
      <c r="L48" s="156" t="b">
        <f t="shared" si="12"/>
        <v>0</v>
      </c>
      <c r="M48" s="165" t="str">
        <f t="shared" si="13"/>
        <v/>
      </c>
      <c r="N48" s="48" t="str">
        <f>IF($G48,COUNTIF($G$22:$G48,TRUE),"")</f>
        <v/>
      </c>
      <c r="O48" s="48" t="str" cm="1">
        <f t="array" ref="O48">IFERROR(IF(AND(teacher_type="R",career_stage="P"),INDEX(RPI[Strand],$B48),IF(AND(teacher_type="R",career_stage="HP"),INDEX(RHPI[Strand],$B48),IF(AND(teacher_type="TB",career_stage="P"),INDEX(TBPI[Strand],$B48),IF(AND(teacher_type="TB",career_stage="HP"),INDEX(TBHPI[Strand],$B48),"")))),"")</f>
        <v>5.4.2</v>
      </c>
      <c r="P48" s="166" t="str">
        <f>$C$48</f>
        <v>NCOI</v>
      </c>
      <c r="Q48" s="167">
        <f>IFERROR(IF(AND(teacher_type="R",career_stage="P"),VLOOKUP(O48,RPI[],COLUMNS(RPI[[Strand]:[Weight]]),FALSE), IF(AND(teacher_type="R",career_stage="HP"),VLOOKUP(O48,RHPI[],COLUMNS(RHPI[[Strand]:[Weight]]),FALSE), IF(AND(teacher_type="TB",career_stage="P"),VLOOKUP(O48,TBPI[],COLUMNS(TBPI[[Strand]:[Weight]]),FALSE), IF(AND(teacher_type="TB",career_stage="HP"),VLOOKUP(O48,TBHPI[],COLUMNS(TBHPI[[Strand]:[Weight]]),FALSE),0)))),0)</f>
        <v>0</v>
      </c>
      <c r="R48" s="168">
        <f>COUNTIFS($D$22:D48,"COI",$G$22:G48,TRUE)</f>
        <v>9</v>
      </c>
      <c r="S48" s="483"/>
      <c r="T48" s="169" t="str">
        <f>IFERROR(IF(LOWER(TRIM(S$20))=LOWER(TRIM(data2!$U$35)),"",IF(AND($G48,$D48="COI",S$12,CZ48),IF(OR(LOWER(TRIM(S$20))=LOWER(TRIM(data2!$U$36)),ISBLANK(S48)),1,IF(career_stage="P",VLOOKUP(S48,P_COT_vlookup,2,FALSE),IF(career_stage="HP",VLOOKUP(S48,HP_COT_vlookup,2,FALSE),""))),"")),"")</f>
        <v/>
      </c>
      <c r="U48" s="489"/>
      <c r="V48" s="170" t="str">
        <f>IFERROR(IF(LOWER(TRIM(U$20))=LOWER(TRIM(data2!$U$35)),"",IF(AND($G48,$D48="COI",U$12,DB48),IF(OR(LOWER(TRIM(U$20))=LOWER(TRIM(data2!$U$36)),ISBLANK(U48)),1,IF(career_stage="P",VLOOKUP(U48,P_COT_vlookup,2,FALSE),IF(career_stage="HP",VLOOKUP(U48,HP_COT_vlookup,2,FALSE),""))),"")),"")</f>
        <v/>
      </c>
      <c r="W48" s="483"/>
      <c r="X48" s="169" t="str">
        <f>IFERROR(IF(LOWER(TRIM(W$20))=LOWER(TRIM(data2!$U$35)),"",IF(AND($G48,$D48="COI",W$12,DD48),IF(OR(LOWER(TRIM(W$20))=LOWER(TRIM(data2!$U$36)),ISBLANK(W48)),1,IF(career_stage="P",VLOOKUP(W48,P_COT_vlookup,2,FALSE),IF(career_stage="HP",VLOOKUP(W48,HP_COT_vlookup,2,FALSE),""))),"")),"")</f>
        <v/>
      </c>
      <c r="Y48" s="489"/>
      <c r="Z48" s="170" t="str">
        <f>IFERROR(IF(LOWER(TRIM(Y$20))=LOWER(TRIM(data2!$U$35)),"",IF(AND($G48,$D48="COI",Y$12,DF48),IF(OR(LOWER(TRIM(Y$20))=LOWER(TRIM(data2!$U$36)),ISBLANK(Y48)),1,IF(career_stage="P",VLOOKUP(Y48,P_COT_vlookup,2,FALSE),IF(career_stage="HP",VLOOKUP(Y48,HP_COT_vlookup,2,FALSE),""))),"")),"")</f>
        <v/>
      </c>
      <c r="AA48" s="171">
        <f t="shared" si="14"/>
        <v>0</v>
      </c>
      <c r="AB48" s="471"/>
      <c r="AC48" s="473"/>
      <c r="AD48" s="473"/>
      <c r="AE48" s="49">
        <f t="shared" si="2"/>
        <v>0</v>
      </c>
      <c r="AF48" s="49">
        <f t="shared" si="3"/>
        <v>0</v>
      </c>
      <c r="AG48" s="172" t="str">
        <f t="shared" si="4"/>
        <v>Poor</v>
      </c>
      <c r="AI48" s="196" t="b">
        <f t="shared" si="5"/>
        <v>1</v>
      </c>
      <c r="AJ48" s="154" t="b">
        <v>1</v>
      </c>
      <c r="AK48" s="154" t="b">
        <v>1</v>
      </c>
      <c r="AL48" s="196" t="b">
        <f t="shared" si="15"/>
        <v>1</v>
      </c>
      <c r="AM48" s="154" t="b">
        <v>1</v>
      </c>
      <c r="AN48" s="196" t="b">
        <f t="shared" si="15"/>
        <v>1</v>
      </c>
      <c r="AO48" s="154" t="b">
        <v>1</v>
      </c>
      <c r="AP48" s="196" t="b">
        <f t="shared" si="15"/>
        <v>1</v>
      </c>
      <c r="AQ48" s="154" t="b">
        <v>1</v>
      </c>
      <c r="AR48" s="196" t="b">
        <f t="shared" si="15"/>
        <v>1</v>
      </c>
      <c r="AS48" s="154" t="b">
        <v>1</v>
      </c>
      <c r="AT48" s="154" t="b">
        <v>1</v>
      </c>
      <c r="AU48" s="196" t="b">
        <f t="shared" si="6"/>
        <v>1</v>
      </c>
      <c r="AV48" s="196" t="b">
        <f t="shared" si="7"/>
        <v>1</v>
      </c>
      <c r="AW48" s="196" t="b">
        <f t="shared" si="8"/>
        <v>1</v>
      </c>
      <c r="AX48" s="47" t="b">
        <v>1</v>
      </c>
      <c r="AY48" s="47" t="b">
        <v>1</v>
      </c>
      <c r="AZ48" s="47" t="b">
        <v>1</v>
      </c>
      <c r="BF48" s="154" t="str">
        <f t="shared" si="9"/>
        <v>5.4.2</v>
      </c>
      <c r="BG48" s="196" t="b" cm="1">
        <f t="array" ref="BG48">IFERROR(IF(OR(LOWER(TRIM(S$20))=LOWER(TRIM(data2!$U$35)),LOWER(TRIM(S$20))=LOWER(TRIM(data2!$U$36))),FALSE,AND(S$12,IF(AND($G48,$D48="COI"),
IF(AND(teacher_type="R",career_stage="P"),VLOOKUP($BF48,RPI[],COLUMN(RPI[cot1]),FALSE),
IF(AND(teacher_type="R",career_stage="HP"),VLOOKUP($BF48,RHPI[],COLUMN(RHPI[cot1]),FALSE),
IF(AND(teacher_type="TB",career_stage="P"),VLOOKUP($BF48,TBPI[],COLUMN(TBPI[cot1]),FALSE),
IF(AND(teacher_type="TB",career_stage="HP"),VLOOKUP($BF48,TBHPI[],COLUMN(TBHPI[cot1]),FALSE),FALSE)))),
FALSE))),FALSE)</f>
        <v>0</v>
      </c>
      <c r="BH48" s="154" t="b">
        <v>0</v>
      </c>
      <c r="BI48" s="196" t="b" cm="1">
        <f t="array" ref="BI48">IFERROR(IF(OR(LOWER(TRIM(U$20))=LOWER(TRIM(data2!$U$35)),LOWER(TRIM(U$20))=LOWER(TRIM(data2!$U$36))),FALSE,AND(U$12,IF(AND($G48,$D48="COI"),
IF(AND(teacher_type="R",career_stage="P"),VLOOKUP($BF48,RPI[],COLUMN(RPI[cot2]),FALSE),
IF(AND(teacher_type="R",career_stage="HP"),VLOOKUP($BF48,RHPI[],COLUMN(RHPI[cot2]),FALSE),
IF(AND(teacher_type="TB",career_stage="P"),VLOOKUP($BF48,TBPI[],COLUMN(TBPI[cot2]),FALSE),
IF(AND(teacher_type="TB",career_stage="HP"),VLOOKUP($BF48,TBHPI[],COLUMN(TBHPI[cot2]),FALSE),FALSE)))),
FALSE))),FALSE)</f>
        <v>0</v>
      </c>
      <c r="BJ48" s="154" t="b">
        <v>0</v>
      </c>
      <c r="BK48" s="196" t="b" cm="1">
        <f t="array" ref="BK48">IFERROR(IF(OR(LOWER(TRIM(W$20))=LOWER(TRIM(data2!$U$35)),LOWER(TRIM(W$20))=LOWER(TRIM(data2!$U$36))),FALSE,AND(W$12,IF(AND($G48,$D48="COI"),
IF(AND(teacher_type="R",career_stage="P"),VLOOKUP($BF48,RPI[],COLUMN(RPI[cot3]),FALSE),
IF(AND(teacher_type="R",career_stage="HP"),VLOOKUP($BF48,RHPI[],COLUMN(RHPI[cot3]),FALSE),
IF(AND(teacher_type="TB",career_stage="P"),VLOOKUP($BF48,TBPI[],COLUMN(TBPI[cot3]),FALSE),
IF(AND(teacher_type="TB",career_stage="HP"),VLOOKUP($BF48,TBHPI[],COLUMN(TBHPI[cot3]),FALSE),FALSE)))),
FALSE))),FALSE)</f>
        <v>0</v>
      </c>
      <c r="BL48" s="154" t="b">
        <v>0</v>
      </c>
      <c r="BM48" s="196" t="b" cm="1">
        <f t="array" ref="BM48">IFERROR(IF(OR(LOWER(TRIM(Y$20))=LOWER(TRIM(data2!$U$35)),LOWER(TRIM(Y$20))=LOWER(TRIM(data2!$U$36))),FALSE,AND(Y$12,IF(AND($G48,$D48="COI"),
IF(AND(teacher_type="R",career_stage="P"),VLOOKUP($BF48,RPI[],COLUMN(RPI[cot4]),FALSE),
IF(AND(teacher_type="R",career_stage="HP"),VLOOKUP($BF48,RHPI[],COLUMN(RHPI[cot4]),FALSE),
IF(AND(teacher_type="TB",career_stage="P"),VLOOKUP($BF48,TBPI[],COLUMN(TBPI[cot4]),FALSE),
IF(AND(teacher_type="TB",career_stage="HP"),VLOOKUP($BF48,TBHPI[],COLUMN(TBHPI[cot4]),FALSE),FALSE)))),
FALSE))),FALSE)</f>
        <v>0</v>
      </c>
      <c r="BN48" s="154" t="b">
        <v>0</v>
      </c>
      <c r="BO48" s="150">
        <f t="shared" si="16"/>
        <v>0</v>
      </c>
      <c r="BP48" s="196" t="b">
        <f t="shared" si="17"/>
        <v>0</v>
      </c>
      <c r="BQ48" s="196" t="b">
        <f>IFERROR(IF(OR(NOT(CZ48),LOWER(TRIM(S$20))=LOWER(TRIM(data2!$U$35))),TRUE,IF(AND(CZ48,LOWER(TRIM(S$20))=LOWER(TRIM(data2!$U$36))),FALSE)),FALSE)</f>
        <v>1</v>
      </c>
      <c r="BR48" s="196" t="b">
        <f t="shared" si="18"/>
        <v>0</v>
      </c>
      <c r="BS48" s="196" t="b">
        <f>IFERROR(IF(OR(NOT(DB48),LOWER(TRIM(U$20))=LOWER(TRIM(data2!$U$35))),TRUE,IF(AND(DB48,LOWER(TRIM(U$20))=LOWER(TRIM(data2!$U$36))),FALSE)),FALSE)</f>
        <v>1</v>
      </c>
      <c r="BT48" s="196" t="b">
        <f t="shared" si="19"/>
        <v>0</v>
      </c>
      <c r="BU48" s="196" t="b">
        <f>IFERROR(IF(OR(NOT(DD48),LOWER(TRIM(W$20))=LOWER(TRIM(data2!$U$35))),TRUE,IF(AND(DD48,LOWER(TRIM(W$20))=LOWER(TRIM(data2!$U$36))),FALSE)),FALSE)</f>
        <v>1</v>
      </c>
      <c r="BV48" s="196" t="b">
        <f t="shared" si="20"/>
        <v>0</v>
      </c>
      <c r="BW48" s="196" t="b">
        <f>IFERROR(IF(OR(NOT(DF48),LOWER(TRIM(Y$20))=LOWER(TRIM(data2!$U$35))),TRUE,IF(AND(DF48,LOWER(TRIM(Y$20))=LOWER(TRIM(data2!$U$36))),FALSE)),FALSE)</f>
        <v>1</v>
      </c>
      <c r="BY48" s="154" t="str">
        <f t="shared" si="21"/>
        <v/>
      </c>
      <c r="BZ48" s="154" t="str">
        <f t="shared" si="22"/>
        <v/>
      </c>
      <c r="CA48" s="154" t="str">
        <f t="shared" si="23"/>
        <v/>
      </c>
      <c r="CB48" s="154" t="str">
        <f t="shared" si="24"/>
        <v>CE48:CI48</v>
      </c>
      <c r="CC48" s="154" t="str">
        <f t="shared" si="25"/>
        <v>CK48:CO48</v>
      </c>
      <c r="CD48" s="154" t="str">
        <f t="shared" si="26"/>
        <v>CQ48:CU48</v>
      </c>
      <c r="CE48" s="359" cm="1">
        <f t="array" ref="CE48">IFERROR(IF($BY48&lt;&gt;"",
IF(AND(teacher_type="R",career_stage="P"),
    IF(INDEX(RPS[[Outstanding]:[Poor]],MATCH($BY48,RPS[[helper]:[helper]],0),CE$19)&lt;&gt;"",CE$20,""),
IF(AND(teacher_type="R",career_stage="HP"),
    IF(INDEX(RHPS[[Outstanding]:[Poor]],MATCH($BY48,RHPS[[helper]:[helper]],0),CE$19)&lt;&gt;"",CE$20,""),
IF(AND(teacher_type="TB",career_stage="P"),
    IF(INDEX(TBPS[[Outstanding]:[Poor]],MATCH($BY48,TBPS[[helper]:[helper]],0),CE$19)&lt;&gt;"",CE$20,""),
IF(AND(teacher_type="TB",career_stage="HP"),
    IF(INDEX(TBHPS[[Outstanding]:[Poor]],MATCH($BY48,TBHPS[[helper]:[helper]],0),CE$19)&lt;&gt;"",CE$20,""),
CE$20)))),
CE$20),CE$20)</f>
        <v>5</v>
      </c>
      <c r="CF48" s="359" cm="1">
        <f t="array" ref="CF48">IFERROR(IF($BY48&lt;&gt;"",
IF(AND(teacher_type="R",career_stage="P"),
    IF(INDEX(RPS[[Outstanding]:[Poor]],MATCH($BY48,RPS[[helper]:[helper]],0),CF$19)&lt;&gt;"",CF$20,""),
IF(AND(teacher_type="R",career_stage="HP"),
    IF(INDEX(RHPS[[Outstanding]:[Poor]],MATCH($BY48,RHPS[[helper]:[helper]],0),CF$19)&lt;&gt;"",CF$20,""),
IF(AND(teacher_type="TB",career_stage="P"),
    IF(INDEX(TBPS[[Outstanding]:[Poor]],MATCH($BY48,TBPS[[helper]:[helper]],0),CF$19)&lt;&gt;"",CF$20,""),
IF(AND(teacher_type="TB",career_stage="HP"),
    IF(INDEX(TBHPS[[Outstanding]:[Poor]],MATCH($BY48,TBHPS[[helper]:[helper]],0),CF$19)&lt;&gt;"",CF$20,""),
CF$20)))),
CF$20),CF$20)</f>
        <v>4</v>
      </c>
      <c r="CG48" s="359" cm="1">
        <f t="array" ref="CG48">IFERROR(IF($BY48&lt;&gt;"",
IF(AND(teacher_type="R",career_stage="P"),
    IF(INDEX(RPS[[Outstanding]:[Poor]],MATCH($BY48,RPS[[helper]:[helper]],0),CG$19)&lt;&gt;"",CG$20,""),
IF(AND(teacher_type="R",career_stage="HP"),
    IF(INDEX(RHPS[[Outstanding]:[Poor]],MATCH($BY48,RHPS[[helper]:[helper]],0),CG$19)&lt;&gt;"",CG$20,""),
IF(AND(teacher_type="TB",career_stage="P"),
    IF(INDEX(TBPS[[Outstanding]:[Poor]],MATCH($BY48,TBPS[[helper]:[helper]],0),CG$19)&lt;&gt;"",CG$20,""),
IF(AND(teacher_type="TB",career_stage="HP"),
    IF(INDEX(TBHPS[[Outstanding]:[Poor]],MATCH($BY48,TBHPS[[helper]:[helper]],0),CG$19)&lt;&gt;"",CG$20,""),
CG$20)))),
CG$20),CG$20)</f>
        <v>3</v>
      </c>
      <c r="CH48" s="359" cm="1">
        <f t="array" ref="CH48">IFERROR(IF($BY48&lt;&gt;"",
IF(AND(teacher_type="R",career_stage="P"),
    IF(INDEX(RPS[[Outstanding]:[Poor]],MATCH($BY48,RPS[[helper]:[helper]],0),CH$19)&lt;&gt;"",CH$20,""),
IF(AND(teacher_type="R",career_stage="HP"),
    IF(INDEX(RHPS[[Outstanding]:[Poor]],MATCH($BY48,RHPS[[helper]:[helper]],0),CH$19)&lt;&gt;"",CH$20,""),
IF(AND(teacher_type="TB",career_stage="P"),
    IF(INDEX(TBPS[[Outstanding]:[Poor]],MATCH($BY48,TBPS[[helper]:[helper]],0),CH$19)&lt;&gt;"",CH$20,""),
IF(AND(teacher_type="TB",career_stage="HP"),
    IF(INDEX(TBHPS[[Outstanding]:[Poor]],MATCH($BY48,TBHPS[[helper]:[helper]],0),CH$19)&lt;&gt;"",CH$20,""),
CH$20)))),
CH$20),CH$20)</f>
        <v>2</v>
      </c>
      <c r="CI48" s="359" cm="1">
        <f t="array" ref="CI48">IFERROR(IF($BY48&lt;&gt;"",
IF(AND(teacher_type="R",career_stage="P"),
    IF(INDEX(RPS[[Outstanding]:[Poor]],MATCH($BY48,RPS[[helper]:[helper]],0),CI$19)&lt;&gt;"",CI$20,""),
IF(AND(teacher_type="R",career_stage="HP"),
    IF(INDEX(RHPS[[Outstanding]:[Poor]],MATCH($BY48,RHPS[[helper]:[helper]],0),CI$19)&lt;&gt;"",CI$20,""),
IF(AND(teacher_type="TB",career_stage="P"),
    IF(INDEX(TBPS[[Outstanding]:[Poor]],MATCH($BY48,TBPS[[helper]:[helper]],0),CI$19)&lt;&gt;"",CI$20,""),
IF(AND(teacher_type="TB",career_stage="HP"),
    IF(INDEX(TBHPS[[Outstanding]:[Poor]],MATCH($BY48,TBHPS[[helper]:[helper]],0),CI$19)&lt;&gt;"",CI$20,""),
CI$20)))),
CI$20),CI$20)</f>
        <v>1</v>
      </c>
      <c r="CJ48" s="360">
        <f t="shared" si="27"/>
        <v>5</v>
      </c>
      <c r="CK48" s="359" cm="1">
        <f t="array" ref="CK48">IFERROR(IF($BZ48&lt;&gt;"",
IF(AND(teacher_type="R",career_stage="P"),
    IF(INDEX(RPS[[Outstanding]:[Poor]],MATCH($BZ48,RPS[[helper]:[helper]],0),CK$19)&lt;&gt;"",CK$20,""),
IF(AND(teacher_type="R",career_stage="HP"),
    IF(INDEX(RHPS[[Outstanding]:[Poor]],MATCH($BZ48,RHPS[[helper]:[helper]],0),CK$19)&lt;&gt;"",CK$20,""),
IF(AND(teacher_type="TB",career_stage="P"),
    IF(INDEX(TBPS[[Outstanding]:[Poor]],MATCH($BZ48,TBPS[[helper]:[helper]],0),CK$19)&lt;&gt;"",CK$20,""),
IF(AND(teacher_type="TB",career_stage="HP"),
    IF(INDEX(TBHPS[[Outstanding]:[Poor]],MATCH($BZ48,TBHPS[[helper]:[helper]],0),CK$19)&lt;&gt;"",CK$20,""),
CK$20)))),
CK$20),CK$20)</f>
        <v>5</v>
      </c>
      <c r="CL48" s="359" cm="1">
        <f t="array" ref="CL48">IFERROR(IF($BZ48&lt;&gt;"",
IF(AND(teacher_type="R",career_stage="P"),
    IF(INDEX(RPS[[Outstanding]:[Poor]],MATCH($BZ48,RPS[[helper]:[helper]],0),CL$19)&lt;&gt;"",CL$20,""),
IF(AND(teacher_type="R",career_stage="HP"),
    IF(INDEX(RHPS[[Outstanding]:[Poor]],MATCH($BZ48,RHPS[[helper]:[helper]],0),CL$19)&lt;&gt;"",CL$20,""),
IF(AND(teacher_type="TB",career_stage="P"),
    IF(INDEX(TBPS[[Outstanding]:[Poor]],MATCH($BZ48,TBPS[[helper]:[helper]],0),CL$19)&lt;&gt;"",CL$20,""),
IF(AND(teacher_type="TB",career_stage="HP"),
    IF(INDEX(TBHPS[[Outstanding]:[Poor]],MATCH($BZ48,TBHPS[[helper]:[helper]],0),CL$19)&lt;&gt;"",CL$20,""),
CL$20)))),
CL$20),CL$20)</f>
        <v>4</v>
      </c>
      <c r="CM48" s="359" cm="1">
        <f t="array" ref="CM48">IFERROR(IF($BZ48&lt;&gt;"",
IF(AND(teacher_type="R",career_stage="P"),
    IF(INDEX(RPS[[Outstanding]:[Poor]],MATCH($BZ48,RPS[[helper]:[helper]],0),CM$19)&lt;&gt;"",CM$20,""),
IF(AND(teacher_type="R",career_stage="HP"),
    IF(INDEX(RHPS[[Outstanding]:[Poor]],MATCH($BZ48,RHPS[[helper]:[helper]],0),CM$19)&lt;&gt;"",CM$20,""),
IF(AND(teacher_type="TB",career_stage="P"),
    IF(INDEX(TBPS[[Outstanding]:[Poor]],MATCH($BZ48,TBPS[[helper]:[helper]],0),CM$19)&lt;&gt;"",CM$20,""),
IF(AND(teacher_type="TB",career_stage="HP"),
    IF(INDEX(TBHPS[[Outstanding]:[Poor]],MATCH($BZ48,TBHPS[[helper]:[helper]],0),CM$19)&lt;&gt;"",CM$20,""),
CM$20)))),
CM$20),CM$20)</f>
        <v>3</v>
      </c>
      <c r="CN48" s="359" cm="1">
        <f t="array" ref="CN48">IFERROR(IF($BZ48&lt;&gt;"",
IF(AND(teacher_type="R",career_stage="P"),
    IF(INDEX(RPS[[Outstanding]:[Poor]],MATCH($BZ48,RPS[[helper]:[helper]],0),CN$19)&lt;&gt;"",CN$20,""),
IF(AND(teacher_type="R",career_stage="HP"),
    IF(INDEX(RHPS[[Outstanding]:[Poor]],MATCH($BZ48,RHPS[[helper]:[helper]],0),CN$19)&lt;&gt;"",CN$20,""),
IF(AND(teacher_type="TB",career_stage="P"),
    IF(INDEX(TBPS[[Outstanding]:[Poor]],MATCH($BZ48,TBPS[[helper]:[helper]],0),CN$19)&lt;&gt;"",CN$20,""),
IF(AND(teacher_type="TB",career_stage="HP"),
    IF(INDEX(TBHPS[[Outstanding]:[Poor]],MATCH($BZ48,TBHPS[[helper]:[helper]],0),CN$19)&lt;&gt;"",CN$20,""),
CN$20)))),
CN$20),CN$20)</f>
        <v>2</v>
      </c>
      <c r="CO48" s="359" cm="1">
        <f t="array" ref="CO48">IFERROR(IF($BZ48&lt;&gt;"",
IF(AND(teacher_type="R",career_stage="P"),
    IF(INDEX(RPS[[Outstanding]:[Poor]],MATCH($BZ48,RPS[[helper]:[helper]],0),CO$19)&lt;&gt;"",CO$20,""),
IF(AND(teacher_type="R",career_stage="HP"),
    IF(INDEX(RHPS[[Outstanding]:[Poor]],MATCH($BZ48,RHPS[[helper]:[helper]],0),CO$19)&lt;&gt;"",CO$20,""),
IF(AND(teacher_type="TB",career_stage="P"),
    IF(INDEX(TBPS[[Outstanding]:[Poor]],MATCH($BZ48,TBPS[[helper]:[helper]],0),CO$19)&lt;&gt;"",CO$20,""),
IF(AND(teacher_type="TB",career_stage="HP"),
    IF(INDEX(TBHPS[[Outstanding]:[Poor]],MATCH($BZ48,TBHPS[[helper]:[helper]],0),CO$19)&lt;&gt;"",CO$20,""),
CO$20)))),
CO$20),CO$20)</f>
        <v>1</v>
      </c>
      <c r="CP48" s="360">
        <f t="shared" si="28"/>
        <v>5</v>
      </c>
      <c r="CQ48" s="359" cm="1">
        <f t="array" ref="CQ48">IFERROR(IF($CA48&lt;&gt;"",
IF(AND(teacher_type="R",career_stage="P"),
    IF(INDEX(RPS[[Outstanding]:[Poor]],MATCH($CA48,RPS[[helper]:[helper]],0),CQ$19)&lt;&gt;"",CQ$20,""),
IF(AND(teacher_type="R",career_stage="HP"),
    IF(INDEX(RHPS[[Outstanding]:[Poor]],MATCH($CA48,RHPS[[helper]:[helper]],0),CQ$19)&lt;&gt;"",CQ$20,""),
IF(AND(teacher_type="TB",career_stage="P"),
    IF(INDEX(TBPS[[Outstanding]:[Poor]],MATCH($CA48,TBPS[[helper]:[helper]],0),CQ$19)&lt;&gt;"",CQ$20,""),
IF(AND(teacher_type="TB",career_stage="HP"),
    IF(INDEX(TBHPS[[Outstanding]:[Poor]],MATCH($CA48,TBHPS[[helper]:[helper]],0),CQ$19)&lt;&gt;"",CQ$20,""),
CQ$20)))),
CQ$20),CQ$20)</f>
        <v>5</v>
      </c>
      <c r="CR48" s="359" cm="1">
        <f t="array" ref="CR48">IFERROR(IF($CA48&lt;&gt;"",
IF(AND(teacher_type="R",career_stage="P"),
    IF(INDEX(RPS[[Outstanding]:[Poor]],MATCH($CA48,RPS[[helper]:[helper]],0),CR$19)&lt;&gt;"",CR$20,""),
IF(AND(teacher_type="R",career_stage="HP"),
    IF(INDEX(RHPS[[Outstanding]:[Poor]],MATCH($CA48,RHPS[[helper]:[helper]],0),CR$19)&lt;&gt;"",CR$20,""),
IF(AND(teacher_type="TB",career_stage="P"),
    IF(INDEX(TBPS[[Outstanding]:[Poor]],MATCH($CA48,TBPS[[helper]:[helper]],0),CR$19)&lt;&gt;"",CR$20,""),
IF(AND(teacher_type="TB",career_stage="HP"),
    IF(INDEX(TBHPS[[Outstanding]:[Poor]],MATCH($CA48,TBHPS[[helper]:[helper]],0),CR$19)&lt;&gt;"",CR$20,""),
CR$20)))),
CR$20),CR$20)</f>
        <v>4</v>
      </c>
      <c r="CS48" s="359" cm="1">
        <f t="array" ref="CS48">IFERROR(IF($CA48&lt;&gt;"",
IF(AND(teacher_type="R",career_stage="P"),
    IF(INDEX(RPS[[Outstanding]:[Poor]],MATCH($CA48,RPS[[helper]:[helper]],0),CS$19)&lt;&gt;"",CS$20,""),
IF(AND(teacher_type="R",career_stage="HP"),
    IF(INDEX(RHPS[[Outstanding]:[Poor]],MATCH($CA48,RHPS[[helper]:[helper]],0),CS$19)&lt;&gt;"",CS$20,""),
IF(AND(teacher_type="TB",career_stage="P"),
    IF(INDEX(TBPS[[Outstanding]:[Poor]],MATCH($CA48,TBPS[[helper]:[helper]],0),CS$19)&lt;&gt;"",CS$20,""),
IF(AND(teacher_type="TB",career_stage="HP"),
    IF(INDEX(TBHPS[[Outstanding]:[Poor]],MATCH($CA48,TBHPS[[helper]:[helper]],0),CS$19)&lt;&gt;"",CS$20,""),
CS$20)))),
CS$20),CS$20)</f>
        <v>3</v>
      </c>
      <c r="CT48" s="359" cm="1">
        <f t="array" ref="CT48">IFERROR(IF($CA48&lt;&gt;"",
IF(AND(teacher_type="R",career_stage="P"),
    IF(INDEX(RPS[[Outstanding]:[Poor]],MATCH($CA48,RPS[[helper]:[helper]],0),CT$19)&lt;&gt;"",CT$20,""),
IF(AND(teacher_type="R",career_stage="HP"),
    IF(INDEX(RHPS[[Outstanding]:[Poor]],MATCH($CA48,RHPS[[helper]:[helper]],0),CT$19)&lt;&gt;"",CT$20,""),
IF(AND(teacher_type="TB",career_stage="P"),
    IF(INDEX(TBPS[[Outstanding]:[Poor]],MATCH($CA48,TBPS[[helper]:[helper]],0),CT$19)&lt;&gt;"",CT$20,""),
IF(AND(teacher_type="TB",career_stage="HP"),
    IF(INDEX(TBHPS[[Outstanding]:[Poor]],MATCH($CA48,TBHPS[[helper]:[helper]],0),CT$19)&lt;&gt;"",CT$20,""),
CT$20)))),
CT$20),CT$20)</f>
        <v>2</v>
      </c>
      <c r="CU48" s="359" cm="1">
        <f t="array" ref="CU48">IFERROR(IF($CA48&lt;&gt;"",
IF(AND(teacher_type="R",career_stage="P"),
    IF(INDEX(RPS[[Outstanding]:[Poor]],MATCH($CA48,RPS[[helper]:[helper]],0),CU$19)&lt;&gt;"",CU$20,""),
IF(AND(teacher_type="R",career_stage="HP"),
    IF(INDEX(RHPS[[Outstanding]:[Poor]],MATCH($CA48,RHPS[[helper]:[helper]],0),CU$19)&lt;&gt;"",CU$20,""),
IF(AND(teacher_type="TB",career_stage="P"),
    IF(INDEX(TBPS[[Outstanding]:[Poor]],MATCH($CA48,TBPS[[helper]:[helper]],0),CU$19)&lt;&gt;"",CU$20,""),
IF(AND(teacher_type="TB",career_stage="HP"),
    IF(INDEX(TBHPS[[Outstanding]:[Poor]],MATCH($CA48,TBHPS[[helper]:[helper]],0),CU$19)&lt;&gt;"",CU$20,""),
CU$20)))),
CU$20),CU$20)</f>
        <v>1</v>
      </c>
      <c r="CV48" s="360">
        <f t="shared" si="29"/>
        <v>5</v>
      </c>
      <c r="CY48" s="443" t="b" cm="1">
        <f t="array" ref="CY48">IFERROR(AND(S$12,IF(AND($G48,$D48="COI"),
IF(AND(teacher_type="R",career_stage="P"),VLOOKUP($BF48,RPI[],COLUMN(RPI[cot1]),FALSE),
IF(AND(teacher_type="R",career_stage="HP"),VLOOKUP($BF48,RHPI[],COLUMN(RHPI[cot1]),FALSE),
IF(AND(teacher_type="TB",career_stage="P"),VLOOKUP($BF48,TBPI[],COLUMN(TBPI[cot1]),FALSE),
IF(AND(teacher_type="TB",career_stage="HP"),VLOOKUP($BF48,TBHPI[],COLUMN(TBHPI[cot1]),FALSE),FALSE)))),
FALSE)),FALSE)</f>
        <v>0</v>
      </c>
      <c r="CZ48" s="443" t="b">
        <f t="shared" si="30"/>
        <v>0</v>
      </c>
      <c r="DA48" s="443" t="b" cm="1">
        <f t="array" ref="DA48">IFERROR(AND(U$12,IF(AND($G48,$D48="COI"),
IF(AND(teacher_type="R",career_stage="P"),VLOOKUP($BF48,RPI[],COLUMN(RPI[cot2]),FALSE),
IF(AND(teacher_type="R",career_stage="HP"),VLOOKUP($BF48,RHPI[],COLUMN(RHPI[cot2]),FALSE),
IF(AND(teacher_type="TB",career_stage="P"),VLOOKUP($BF48,TBPI[],COLUMN(TBPI[cot2]),FALSE),
IF(AND(teacher_type="TB",career_stage="HP"),VLOOKUP($BF48,TBHPI[],COLUMN(TBHPI[cot2]),FALSE),FALSE)))),
FALSE)),FALSE)</f>
        <v>0</v>
      </c>
      <c r="DB48" s="443" t="b">
        <f t="shared" si="31"/>
        <v>0</v>
      </c>
      <c r="DC48" s="443" t="b" cm="1">
        <f t="array" ref="DC48">IFERROR(AND(W$12,IF(AND($G48,$D48="COI"),
IF(AND(teacher_type="R",career_stage="P"),VLOOKUP($BF48,RPI[],COLUMN(RPI[cot3]),FALSE),
IF(AND(teacher_type="R",career_stage="HP"),VLOOKUP($BF48,RHPI[],COLUMN(RHPI[cot3]),FALSE),
IF(AND(teacher_type="TB",career_stage="P"),VLOOKUP($BF48,TBPI[],COLUMN(TBPI[cot3]),FALSE),
IF(AND(teacher_type="TB",career_stage="HP"),VLOOKUP($BF48,TBHPI[],COLUMN(TBHPI[cot3]),FALSE),FALSE)))),
FALSE)),FALSE)</f>
        <v>0</v>
      </c>
      <c r="DD48" s="443" t="b">
        <f t="shared" si="32"/>
        <v>0</v>
      </c>
      <c r="DE48" s="443" t="b" cm="1">
        <f t="array" ref="DE48">IFERROR(AND(Y$12,IF(AND($G48,$D48="COI"),
IF(AND(teacher_type="R",career_stage="P"),VLOOKUP($BF48,RPI[],COLUMN(RPI[cot4]),FALSE),
IF(AND(teacher_type="R",career_stage="HP"),VLOOKUP($BF48,RHPI[],COLUMN(RHPI[cot4]),FALSE),
IF(AND(teacher_type="TB",career_stage="P"),VLOOKUP($BF48,TBPI[],COLUMN(TBPI[cot4]),FALSE),
IF(AND(teacher_type="TB",career_stage="HP"),VLOOKUP($BF48,TBHPI[],COLUMN(TBHPI[cot4]),FALSE),FALSE)))),
FALSE)),FALSE)</f>
        <v>0</v>
      </c>
      <c r="DF48" s="443" t="b">
        <f t="shared" si="33"/>
        <v>0</v>
      </c>
      <c r="DG48" s="150">
        <f t="shared" si="34"/>
        <v>0</v>
      </c>
      <c r="DH48" s="154">
        <f>IF(AND(CY48,LOWER(TRIM(S$20))=LOWER(TRIM(data2!$U$35))),1,0) +
IF(AND(DA48,LOWER(TRIM(U$20))=LOWER(TRIM(data2!$U$35))),1,0) +
IF(AND(DC48,LOWER(TRIM(W$20))=LOWER(TRIM(data2!$U$35))),1,0) +
IF(AND(DE48,LOWER(TRIM(Y$20))=LOWER(TRIM(data2!$U$35))),1,0)</f>
        <v>0</v>
      </c>
      <c r="DJ48" s="154">
        <f t="shared" si="35"/>
        <v>0</v>
      </c>
    </row>
    <row r="49" spans="1:114" s="154" customFormat="1" ht="24.95" customHeight="1" x14ac:dyDescent="0.25">
      <c r="A49" s="156"/>
      <c r="B49" s="154">
        <v>28</v>
      </c>
      <c r="C49" s="150" t="str">
        <f>IFERROR(IF(AND(teacher_type="R",career_stage="P"),VLOOKUP(O49,RPI[],COLUMNS(RPI[[Strand]:[admin_selected_coi_ncoi]]),FALSE),IF(AND(teacher_type="R",career_stage="HP"),VLOOKUP(O49,RHPI[],COLUMNS(RHPI[[Strand]:[admin_selected_coi_ncoi]]),FALSE),IF(AND(teacher_type="TB",career_stage="P"),VLOOKUP(O49,TBPI[],COLUMNS(TBPI[[Strand]:[admin_selected_coi_ncoi]]),FALSE),IF(AND(teacher_type="TB",career_stage="HP"),VLOOKUP(O49,TBHPI[],COLUMNS(TBHPI[[Strand]:[admin_selected_coi_ncoi]]),FALSE),"NCOI")))),"NCOI")</f>
        <v>NCOI</v>
      </c>
      <c r="D49" s="150" t="str">
        <f t="shared" si="10"/>
        <v>NCOI</v>
      </c>
      <c r="E49" s="150">
        <f>IFERROR(IF(AND(teacher_type="R",career_stage="P"),VLOOKUP($O49,RPI[[Strand]:[Domain]],COLUMNS(RPI[[Strand]:[Domain]]),FALSE),IF(AND(teacher_type="R",career_stage="HP"),VLOOKUP($O49,RHPI[[Strand]:[Domain]],COLUMNS(RHPI[[Strand]:[Domain]]),FALSE),IF(AND(teacher_type="TB",career_stage="P"),VLOOKUP($O49,TBPI[[Strand]:[Domain]],COLUMNS(TBPI[[Strand]:[Domain]]),FALSE),IF(AND(teacher_type="TB",career_stage="HP"),VLOOKUP($O49,TBHPI[[Strand]:[Domain]],COLUMNS(TBHPI[[Strand]:[Domain]]),FALSE),"")))),"")</f>
        <v>3</v>
      </c>
      <c r="F49" s="155" t="b">
        <f>AND(COUNTIFS($E$22:$E49,E49,$G$22:$G49,TRUE)=1,$G49)</f>
        <v>0</v>
      </c>
      <c r="G49" s="212" t="b">
        <f>IFERROR(IF(AND(teacher_type="R",career_stage="P"),VLOOKUP($O49,RPI[],COLUMNS(RPI[[Strand]:[Selected]]),FALSE),IF(AND(teacher_type="R",career_stage="HP"),VLOOKUP($O49,RHPI[],COLUMNS(RHPI[[Strand]:[Selected]]),FALSE),IF(AND(teacher_type="TB",career_stage="P"),VLOOKUP($O49,TBPI[],COLUMNS(TBPI[[Strand]:[Selected]]),FALSE),IF(AND(teacher_type="TB",career_stage="HP"),VLOOKUP($O49,TBHPI[],COLUMNS(TBHPI[[Strand]:[Selected]]),FALSE),FALSE)))),FALSE)</f>
        <v>1</v>
      </c>
      <c r="H49" s="156" t="b">
        <f>IFERROR(IF(AND(teacher_type="R",career_stage="P"),AND(COUNTIFS(RPS[Strand],$O49,RPS[QET],H$21)&gt;0,$G49),IF(AND(teacher_type="R",career_stage="HP"),AND(COUNTIFS(RHPS[Strand],$O49,RHPS[QET],H$21)&gt;0,$G49),IF(AND(teacher_type="TB",career_stage="P"),AND(COUNTIFS(TBPS[Strand],$O49,TBPS[QET],H$21)&gt;0,$G49),IF(AND(teacher_type="TB",career_stage="HP"),AND(COUNTIFS(TBHPS[Strand],$O49,TBHPS[QET],H$21)&gt;0,$G49),FALSE)))),FALSE)</f>
        <v>1</v>
      </c>
      <c r="I49" s="156" t="b">
        <f t="shared" si="11"/>
        <v>1</v>
      </c>
      <c r="J49" s="156" t="b">
        <f>IFERROR(IF(AND(teacher_type="R",career_stage="P"),AND(COUNTIFS(RPS[Strand],$O49,RPS[QET],J$21)&gt;0,$G49),IF(AND(teacher_type="R",career_stage="HP"),AND(COUNTIFS(RHPS[Strand],$O49,RHPS[QET],J$21)&gt;0,$G49),IF(AND(teacher_type="TB",career_stage="P"),AND(COUNTIFS(TBPS[Strand],$O49,TBPS[QET],J$21)&gt;0,$G49),IF(AND(teacher_type="TB",career_stage="HP"),AND(COUNTIFS(TBHPS[Strand],$O49,TBHPS[QET],J$21)&gt;0,$G49),FALSE)))),FALSE)</f>
        <v>0</v>
      </c>
      <c r="K49" s="156" t="b">
        <f>IFERROR(IF(AND(teacher_type="R",career_stage="P"),AND(COUNTIFS(RPS[Strand],$O49,RPS[QET],K$21)&gt;0,$G49),IF(AND(teacher_type="R",career_stage="HP"),AND(COUNTIFS(RHPS[Strand],$O49,RHPS[QET],K$21)&gt;0,$G49),IF(AND(teacher_type="TB",career_stage="P"),AND(COUNTIFS(TBPS[Strand],$O49,TBPS[QET],K$21)&gt;0,$G49),IF(AND(teacher_type="TB",career_stage="HP"),AND(COUNTIFS(TBHPS[Strand],$O49,TBHPS[QET],K$21)&gt;0,$G49),FALSE)))),FALSE)</f>
        <v>1</v>
      </c>
      <c r="L49" s="156" t="b">
        <f t="shared" si="12"/>
        <v>0</v>
      </c>
      <c r="M49" s="165" t="str">
        <f t="shared" si="13"/>
        <v/>
      </c>
      <c r="N49" s="48">
        <f>IF($G49,COUNTIF($G$22:$G49,TRUE),"")</f>
        <v>11</v>
      </c>
      <c r="O49" s="48" t="str" cm="1">
        <f t="array" ref="O49">IFERROR(IF(AND(teacher_type="R",career_stage="P"),INDEX(RPI[Strand],$B49),IF(AND(teacher_type="R",career_stage="HP"),INDEX(RHPI[Strand],$B49),IF(AND(teacher_type="TB",career_stage="P"),INDEX(TBPI[Strand],$B49),IF(AND(teacher_type="TB",career_stage="HP"),INDEX(TBHPI[Strand],$B49),"")))),"")</f>
        <v>5.5.2</v>
      </c>
      <c r="P49" s="166" t="str">
        <f>$C$49</f>
        <v>NCOI</v>
      </c>
      <c r="Q49" s="173">
        <f>IFERROR(IF(AND(teacher_type="R",career_stage="P"),VLOOKUP(O49,RPI[],COLUMNS(RPI[[Strand]:[Weight]]),FALSE), IF(AND(teacher_type="R",career_stage="HP"),VLOOKUP(O49,RHPI[],COLUMNS(RHPI[[Strand]:[Weight]]),FALSE), IF(AND(teacher_type="TB",career_stage="P"),VLOOKUP(O49,TBPI[],COLUMNS(TBPI[[Strand]:[Weight]]),FALSE), IF(AND(teacher_type="TB",career_stage="HP"),VLOOKUP(O49,TBHPI[],COLUMNS(TBHPI[[Strand]:[Weight]]),FALSE),0)))),0)</f>
        <v>7.0000000000000007E-2</v>
      </c>
      <c r="R49" s="174">
        <f>COUNTIFS($D$22:D49,"COI",$G$22:G49,TRUE)</f>
        <v>9</v>
      </c>
      <c r="S49" s="484"/>
      <c r="T49" s="175" t="str">
        <f>IFERROR(IF(LOWER(TRIM(S$20))=LOWER(TRIM(data2!$U$35)),"",IF(AND($G49,$D49="COI",S$12,CZ49),IF(OR(LOWER(TRIM(S$20))=LOWER(TRIM(data2!$U$36)),ISBLANK(S49)),1,IF(career_stage="P",VLOOKUP(S49,P_COT_vlookup,2,FALSE),IF(career_stage="HP",VLOOKUP(S49,HP_COT_vlookup,2,FALSE),""))),"")),"")</f>
        <v/>
      </c>
      <c r="U49" s="471"/>
      <c r="V49" s="176" t="str">
        <f>IFERROR(IF(LOWER(TRIM(U$20))=LOWER(TRIM(data2!$U$35)),"",IF(AND($G49,$D49="COI",U$12,DB49),IF(OR(LOWER(TRIM(U$20))=LOWER(TRIM(data2!$U$36)),ISBLANK(U49)),1,IF(career_stage="P",VLOOKUP(U49,P_COT_vlookup,2,FALSE),IF(career_stage="HP",VLOOKUP(U49,HP_COT_vlookup,2,FALSE),""))),"")),"")</f>
        <v/>
      </c>
      <c r="W49" s="484"/>
      <c r="X49" s="175" t="str">
        <f>IFERROR(IF(LOWER(TRIM(W$20))=LOWER(TRIM(data2!$U$35)),"",IF(AND($G49,$D49="COI",W$12,DD49),IF(OR(LOWER(TRIM(W$20))=LOWER(TRIM(data2!$U$36)),ISBLANK(W49)),1,IF(career_stage="P",VLOOKUP(W49,P_COT_vlookup,2,FALSE),IF(career_stage="HP",VLOOKUP(W49,HP_COT_vlookup,2,FALSE),""))),"")),"")</f>
        <v/>
      </c>
      <c r="Y49" s="471"/>
      <c r="Z49" s="176" t="str">
        <f>IFERROR(IF(LOWER(TRIM(Y$20))=LOWER(TRIM(data2!$U$35)),"",IF(AND($G49,$D49="COI",Y$12,DF49),IF(OR(LOWER(TRIM(Y$20))=LOWER(TRIM(data2!$U$36)),ISBLANK(Y49)),1,IF(career_stage="P",VLOOKUP(Y49,P_COT_vlookup,2,FALSE),IF(career_stage="HP",VLOOKUP(Y49,HP_COT_vlookup,2,FALSE),""))),"")),"")</f>
        <v/>
      </c>
      <c r="AA49" s="171">
        <f t="shared" si="14"/>
        <v>0</v>
      </c>
      <c r="AB49" s="459">
        <v>4</v>
      </c>
      <c r="AC49" s="473"/>
      <c r="AD49" s="462">
        <v>5</v>
      </c>
      <c r="AE49" s="49">
        <f t="shared" si="2"/>
        <v>4.5</v>
      </c>
      <c r="AF49" s="49">
        <f t="shared" si="3"/>
        <v>0.315</v>
      </c>
      <c r="AG49" s="172" t="str">
        <f t="shared" si="4"/>
        <v>Outstanding</v>
      </c>
      <c r="AI49" s="196" t="b">
        <f t="shared" si="5"/>
        <v>1</v>
      </c>
      <c r="AJ49" s="154" t="b">
        <v>1</v>
      </c>
      <c r="AK49" s="154" t="b">
        <v>1</v>
      </c>
      <c r="AL49" s="196" t="b">
        <f t="shared" si="15"/>
        <v>1</v>
      </c>
      <c r="AM49" s="154" t="b">
        <v>1</v>
      </c>
      <c r="AN49" s="196" t="b">
        <f t="shared" si="15"/>
        <v>1</v>
      </c>
      <c r="AO49" s="154" t="b">
        <v>1</v>
      </c>
      <c r="AP49" s="196" t="b">
        <f t="shared" si="15"/>
        <v>1</v>
      </c>
      <c r="AQ49" s="154" t="b">
        <v>1</v>
      </c>
      <c r="AR49" s="196" t="b">
        <f t="shared" si="15"/>
        <v>1</v>
      </c>
      <c r="AS49" s="154" t="b">
        <v>1</v>
      </c>
      <c r="AT49" s="154" t="b">
        <v>1</v>
      </c>
      <c r="AU49" s="196" t="b">
        <f t="shared" si="6"/>
        <v>1</v>
      </c>
      <c r="AV49" s="196" t="b">
        <f t="shared" si="7"/>
        <v>1</v>
      </c>
      <c r="AW49" s="196" t="b">
        <f t="shared" si="8"/>
        <v>1</v>
      </c>
      <c r="AX49" s="47" t="b">
        <v>1</v>
      </c>
      <c r="AY49" s="47" t="b">
        <v>1</v>
      </c>
      <c r="AZ49" s="47" t="b">
        <v>1</v>
      </c>
      <c r="BF49" s="154" t="str">
        <f t="shared" si="9"/>
        <v>5.5.2</v>
      </c>
      <c r="BG49" s="196" t="b" cm="1">
        <f t="array" ref="BG49">IFERROR(IF(OR(LOWER(TRIM(S$20))=LOWER(TRIM(data2!$U$35)),LOWER(TRIM(S$20))=LOWER(TRIM(data2!$U$36))),FALSE,AND(S$12,IF(AND($G49,$D49="COI"),
IF(AND(teacher_type="R",career_stage="P"),VLOOKUP($BF49,RPI[],COLUMN(RPI[cot1]),FALSE),
IF(AND(teacher_type="R",career_stage="HP"),VLOOKUP($BF49,RHPI[],COLUMN(RHPI[cot1]),FALSE),
IF(AND(teacher_type="TB",career_stage="P"),VLOOKUP($BF49,TBPI[],COLUMN(TBPI[cot1]),FALSE),
IF(AND(teacher_type="TB",career_stage="HP"),VLOOKUP($BF49,TBHPI[],COLUMN(TBHPI[cot1]),FALSE),FALSE)))),
FALSE))),FALSE)</f>
        <v>0</v>
      </c>
      <c r="BH49" s="154" t="b">
        <v>0</v>
      </c>
      <c r="BI49" s="196" t="b" cm="1">
        <f t="array" ref="BI49">IFERROR(IF(OR(LOWER(TRIM(U$20))=LOWER(TRIM(data2!$U$35)),LOWER(TRIM(U$20))=LOWER(TRIM(data2!$U$36))),FALSE,AND(U$12,IF(AND($G49,$D49="COI"),
IF(AND(teacher_type="R",career_stage="P"),VLOOKUP($BF49,RPI[],COLUMN(RPI[cot2]),FALSE),
IF(AND(teacher_type="R",career_stage="HP"),VLOOKUP($BF49,RHPI[],COLUMN(RHPI[cot2]),FALSE),
IF(AND(teacher_type="TB",career_stage="P"),VLOOKUP($BF49,TBPI[],COLUMN(TBPI[cot2]),FALSE),
IF(AND(teacher_type="TB",career_stage="HP"),VLOOKUP($BF49,TBHPI[],COLUMN(TBHPI[cot2]),FALSE),FALSE)))),
FALSE))),FALSE)</f>
        <v>0</v>
      </c>
      <c r="BJ49" s="154" t="b">
        <v>0</v>
      </c>
      <c r="BK49" s="196" t="b" cm="1">
        <f t="array" ref="BK49">IFERROR(IF(OR(LOWER(TRIM(W$20))=LOWER(TRIM(data2!$U$35)),LOWER(TRIM(W$20))=LOWER(TRIM(data2!$U$36))),FALSE,AND(W$12,IF(AND($G49,$D49="COI"),
IF(AND(teacher_type="R",career_stage="P"),VLOOKUP($BF49,RPI[],COLUMN(RPI[cot3]),FALSE),
IF(AND(teacher_type="R",career_stage="HP"),VLOOKUP($BF49,RHPI[],COLUMN(RHPI[cot3]),FALSE),
IF(AND(teacher_type="TB",career_stage="P"),VLOOKUP($BF49,TBPI[],COLUMN(TBPI[cot3]),FALSE),
IF(AND(teacher_type="TB",career_stage="HP"),VLOOKUP($BF49,TBHPI[],COLUMN(TBHPI[cot3]),FALSE),FALSE)))),
FALSE))),FALSE)</f>
        <v>0</v>
      </c>
      <c r="BL49" s="154" t="b">
        <v>0</v>
      </c>
      <c r="BM49" s="196" t="b" cm="1">
        <f t="array" ref="BM49">IFERROR(IF(OR(LOWER(TRIM(Y$20))=LOWER(TRIM(data2!$U$35)),LOWER(TRIM(Y$20))=LOWER(TRIM(data2!$U$36))),FALSE,AND(Y$12,IF(AND($G49,$D49="COI"),
IF(AND(teacher_type="R",career_stage="P"),VLOOKUP($BF49,RPI[],COLUMN(RPI[cot4]),FALSE),
IF(AND(teacher_type="R",career_stage="HP"),VLOOKUP($BF49,RHPI[],COLUMN(RHPI[cot4]),FALSE),
IF(AND(teacher_type="TB",career_stage="P"),VLOOKUP($BF49,TBPI[],COLUMN(TBPI[cot4]),FALSE),
IF(AND(teacher_type="TB",career_stage="HP"),VLOOKUP($BF49,TBHPI[],COLUMN(TBHPI[cot4]),FALSE),FALSE)))),
FALSE))),FALSE)</f>
        <v>0</v>
      </c>
      <c r="BN49" s="154" t="b">
        <v>0</v>
      </c>
      <c r="BO49" s="150">
        <f t="shared" si="16"/>
        <v>0</v>
      </c>
      <c r="BP49" s="196" t="b">
        <f t="shared" si="17"/>
        <v>0</v>
      </c>
      <c r="BQ49" s="196" t="b">
        <f>IFERROR(IF(OR(NOT(CZ49),LOWER(TRIM(S$20))=LOWER(TRIM(data2!$U$35))),TRUE,IF(AND(CZ49,LOWER(TRIM(S$20))=LOWER(TRIM(data2!$U$36))),FALSE)),FALSE)</f>
        <v>1</v>
      </c>
      <c r="BR49" s="196" t="b">
        <f t="shared" si="18"/>
        <v>0</v>
      </c>
      <c r="BS49" s="196" t="b">
        <f>IFERROR(IF(OR(NOT(DB49),LOWER(TRIM(U$20))=LOWER(TRIM(data2!$U$35))),TRUE,IF(AND(DB49,LOWER(TRIM(U$20))=LOWER(TRIM(data2!$U$36))),FALSE)),FALSE)</f>
        <v>1</v>
      </c>
      <c r="BT49" s="196" t="b">
        <f t="shared" si="19"/>
        <v>0</v>
      </c>
      <c r="BU49" s="196" t="b">
        <f>IFERROR(IF(OR(NOT(DD49),LOWER(TRIM(W$20))=LOWER(TRIM(data2!$U$35))),TRUE,IF(AND(DD49,LOWER(TRIM(W$20))=LOWER(TRIM(data2!$U$36))),FALSE)),FALSE)</f>
        <v>1</v>
      </c>
      <c r="BV49" s="196" t="b">
        <f t="shared" si="20"/>
        <v>0</v>
      </c>
      <c r="BW49" s="196" t="b">
        <f>IFERROR(IF(OR(NOT(DF49),LOWER(TRIM(Y$20))=LOWER(TRIM(data2!$U$35))),TRUE,IF(AND(DF49,LOWER(TRIM(Y$20))=LOWER(TRIM(data2!$U$36))),FALSE)),FALSE)</f>
        <v>1</v>
      </c>
      <c r="BY49" s="154" t="str">
        <f t="shared" si="21"/>
        <v>5.5.2-Q-NCOI</v>
      </c>
      <c r="BZ49" s="154" t="str">
        <f t="shared" si="22"/>
        <v/>
      </c>
      <c r="CA49" s="154" t="str">
        <f t="shared" si="23"/>
        <v>5.5.2-T-NCOI</v>
      </c>
      <c r="CB49" s="154" t="str">
        <f t="shared" si="24"/>
        <v>CE49:CI49</v>
      </c>
      <c r="CC49" s="154" t="str">
        <f t="shared" si="25"/>
        <v>CK49:CO49</v>
      </c>
      <c r="CD49" s="154" t="str">
        <f t="shared" si="26"/>
        <v>CQ49:CU49</v>
      </c>
      <c r="CE49" s="359" cm="1">
        <f t="array" ref="CE49">IFERROR(IF($BY49&lt;&gt;"",
IF(AND(teacher_type="R",career_stage="P"),
    IF(INDEX(RPS[[Outstanding]:[Poor]],MATCH($BY49,RPS[[helper]:[helper]],0),CE$19)&lt;&gt;"",CE$20,""),
IF(AND(teacher_type="R",career_stage="HP"),
    IF(INDEX(RHPS[[Outstanding]:[Poor]],MATCH($BY49,RHPS[[helper]:[helper]],0),CE$19)&lt;&gt;"",CE$20,""),
IF(AND(teacher_type="TB",career_stage="P"),
    IF(INDEX(TBPS[[Outstanding]:[Poor]],MATCH($BY49,TBPS[[helper]:[helper]],0),CE$19)&lt;&gt;"",CE$20,""),
IF(AND(teacher_type="TB",career_stage="HP"),
    IF(INDEX(TBHPS[[Outstanding]:[Poor]],MATCH($BY49,TBHPS[[helper]:[helper]],0),CE$19)&lt;&gt;"",CE$20,""),
CE$20)))),
CE$20),CE$20)</f>
        <v>5</v>
      </c>
      <c r="CF49" s="359" cm="1">
        <f t="array" ref="CF49">IFERROR(IF($BY49&lt;&gt;"",
IF(AND(teacher_type="R",career_stage="P"),
    IF(INDEX(RPS[[Outstanding]:[Poor]],MATCH($BY49,RPS[[helper]:[helper]],0),CF$19)&lt;&gt;"",CF$20,""),
IF(AND(teacher_type="R",career_stage="HP"),
    IF(INDEX(RHPS[[Outstanding]:[Poor]],MATCH($BY49,RHPS[[helper]:[helper]],0),CF$19)&lt;&gt;"",CF$20,""),
IF(AND(teacher_type="TB",career_stage="P"),
    IF(INDEX(TBPS[[Outstanding]:[Poor]],MATCH($BY49,TBPS[[helper]:[helper]],0),CF$19)&lt;&gt;"",CF$20,""),
IF(AND(teacher_type="TB",career_stage="HP"),
    IF(INDEX(TBHPS[[Outstanding]:[Poor]],MATCH($BY49,TBHPS[[helper]:[helper]],0),CF$19)&lt;&gt;"",CF$20,""),
CF$20)))),
CF$20),CF$20)</f>
        <v>4</v>
      </c>
      <c r="CG49" s="359" cm="1">
        <f t="array" ref="CG49">IFERROR(IF($BY49&lt;&gt;"",
IF(AND(teacher_type="R",career_stage="P"),
    IF(INDEX(RPS[[Outstanding]:[Poor]],MATCH($BY49,RPS[[helper]:[helper]],0),CG$19)&lt;&gt;"",CG$20,""),
IF(AND(teacher_type="R",career_stage="HP"),
    IF(INDEX(RHPS[[Outstanding]:[Poor]],MATCH($BY49,RHPS[[helper]:[helper]],0),CG$19)&lt;&gt;"",CG$20,""),
IF(AND(teacher_type="TB",career_stage="P"),
    IF(INDEX(TBPS[[Outstanding]:[Poor]],MATCH($BY49,TBPS[[helper]:[helper]],0),CG$19)&lt;&gt;"",CG$20,""),
IF(AND(teacher_type="TB",career_stage="HP"),
    IF(INDEX(TBHPS[[Outstanding]:[Poor]],MATCH($BY49,TBHPS[[helper]:[helper]],0),CG$19)&lt;&gt;"",CG$20,""),
CG$20)))),
CG$20),CG$20)</f>
        <v>3</v>
      </c>
      <c r="CH49" s="359" cm="1">
        <f t="array" ref="CH49">IFERROR(IF($BY49&lt;&gt;"",
IF(AND(teacher_type="R",career_stage="P"),
    IF(INDEX(RPS[[Outstanding]:[Poor]],MATCH($BY49,RPS[[helper]:[helper]],0),CH$19)&lt;&gt;"",CH$20,""),
IF(AND(teacher_type="R",career_stage="HP"),
    IF(INDEX(RHPS[[Outstanding]:[Poor]],MATCH($BY49,RHPS[[helper]:[helper]],0),CH$19)&lt;&gt;"",CH$20,""),
IF(AND(teacher_type="TB",career_stage="P"),
    IF(INDEX(TBPS[[Outstanding]:[Poor]],MATCH($BY49,TBPS[[helper]:[helper]],0),CH$19)&lt;&gt;"",CH$20,""),
IF(AND(teacher_type="TB",career_stage="HP"),
    IF(INDEX(TBHPS[[Outstanding]:[Poor]],MATCH($BY49,TBHPS[[helper]:[helper]],0),CH$19)&lt;&gt;"",CH$20,""),
CH$20)))),
CH$20),CH$20)</f>
        <v>2</v>
      </c>
      <c r="CI49" s="359" cm="1">
        <f t="array" ref="CI49">IFERROR(IF($BY49&lt;&gt;"",
IF(AND(teacher_type="R",career_stage="P"),
    IF(INDEX(RPS[[Outstanding]:[Poor]],MATCH($BY49,RPS[[helper]:[helper]],0),CI$19)&lt;&gt;"",CI$20,""),
IF(AND(teacher_type="R",career_stage="HP"),
    IF(INDEX(RHPS[[Outstanding]:[Poor]],MATCH($BY49,RHPS[[helper]:[helper]],0),CI$19)&lt;&gt;"",CI$20,""),
IF(AND(teacher_type="TB",career_stage="P"),
    IF(INDEX(TBPS[[Outstanding]:[Poor]],MATCH($BY49,TBPS[[helper]:[helper]],0),CI$19)&lt;&gt;"",CI$20,""),
IF(AND(teacher_type="TB",career_stage="HP"),
    IF(INDEX(TBHPS[[Outstanding]:[Poor]],MATCH($BY49,TBHPS[[helper]:[helper]],0),CI$19)&lt;&gt;"",CI$20,""),
CI$20)))),
CI$20),CI$20)</f>
        <v>1</v>
      </c>
      <c r="CJ49" s="360">
        <f t="shared" si="27"/>
        <v>5</v>
      </c>
      <c r="CK49" s="359" cm="1">
        <f t="array" ref="CK49">IFERROR(IF($BZ49&lt;&gt;"",
IF(AND(teacher_type="R",career_stage="P"),
    IF(INDEX(RPS[[Outstanding]:[Poor]],MATCH($BZ49,RPS[[helper]:[helper]],0),CK$19)&lt;&gt;"",CK$20,""),
IF(AND(teacher_type="R",career_stage="HP"),
    IF(INDEX(RHPS[[Outstanding]:[Poor]],MATCH($BZ49,RHPS[[helper]:[helper]],0),CK$19)&lt;&gt;"",CK$20,""),
IF(AND(teacher_type="TB",career_stage="P"),
    IF(INDEX(TBPS[[Outstanding]:[Poor]],MATCH($BZ49,TBPS[[helper]:[helper]],0),CK$19)&lt;&gt;"",CK$20,""),
IF(AND(teacher_type="TB",career_stage="HP"),
    IF(INDEX(TBHPS[[Outstanding]:[Poor]],MATCH($BZ49,TBHPS[[helper]:[helper]],0),CK$19)&lt;&gt;"",CK$20,""),
CK$20)))),
CK$20),CK$20)</f>
        <v>5</v>
      </c>
      <c r="CL49" s="359" cm="1">
        <f t="array" ref="CL49">IFERROR(IF($BZ49&lt;&gt;"",
IF(AND(teacher_type="R",career_stage="P"),
    IF(INDEX(RPS[[Outstanding]:[Poor]],MATCH($BZ49,RPS[[helper]:[helper]],0),CL$19)&lt;&gt;"",CL$20,""),
IF(AND(teacher_type="R",career_stage="HP"),
    IF(INDEX(RHPS[[Outstanding]:[Poor]],MATCH($BZ49,RHPS[[helper]:[helper]],0),CL$19)&lt;&gt;"",CL$20,""),
IF(AND(teacher_type="TB",career_stage="P"),
    IF(INDEX(TBPS[[Outstanding]:[Poor]],MATCH($BZ49,TBPS[[helper]:[helper]],0),CL$19)&lt;&gt;"",CL$20,""),
IF(AND(teacher_type="TB",career_stage="HP"),
    IF(INDEX(TBHPS[[Outstanding]:[Poor]],MATCH($BZ49,TBHPS[[helper]:[helper]],0),CL$19)&lt;&gt;"",CL$20,""),
CL$20)))),
CL$20),CL$20)</f>
        <v>4</v>
      </c>
      <c r="CM49" s="359" cm="1">
        <f t="array" ref="CM49">IFERROR(IF($BZ49&lt;&gt;"",
IF(AND(teacher_type="R",career_stage="P"),
    IF(INDEX(RPS[[Outstanding]:[Poor]],MATCH($BZ49,RPS[[helper]:[helper]],0),CM$19)&lt;&gt;"",CM$20,""),
IF(AND(teacher_type="R",career_stage="HP"),
    IF(INDEX(RHPS[[Outstanding]:[Poor]],MATCH($BZ49,RHPS[[helper]:[helper]],0),CM$19)&lt;&gt;"",CM$20,""),
IF(AND(teacher_type="TB",career_stage="P"),
    IF(INDEX(TBPS[[Outstanding]:[Poor]],MATCH($BZ49,TBPS[[helper]:[helper]],0),CM$19)&lt;&gt;"",CM$20,""),
IF(AND(teacher_type="TB",career_stage="HP"),
    IF(INDEX(TBHPS[[Outstanding]:[Poor]],MATCH($BZ49,TBHPS[[helper]:[helper]],0),CM$19)&lt;&gt;"",CM$20,""),
CM$20)))),
CM$20),CM$20)</f>
        <v>3</v>
      </c>
      <c r="CN49" s="359" cm="1">
        <f t="array" ref="CN49">IFERROR(IF($BZ49&lt;&gt;"",
IF(AND(teacher_type="R",career_stage="P"),
    IF(INDEX(RPS[[Outstanding]:[Poor]],MATCH($BZ49,RPS[[helper]:[helper]],0),CN$19)&lt;&gt;"",CN$20,""),
IF(AND(teacher_type="R",career_stage="HP"),
    IF(INDEX(RHPS[[Outstanding]:[Poor]],MATCH($BZ49,RHPS[[helper]:[helper]],0),CN$19)&lt;&gt;"",CN$20,""),
IF(AND(teacher_type="TB",career_stage="P"),
    IF(INDEX(TBPS[[Outstanding]:[Poor]],MATCH($BZ49,TBPS[[helper]:[helper]],0),CN$19)&lt;&gt;"",CN$20,""),
IF(AND(teacher_type="TB",career_stage="HP"),
    IF(INDEX(TBHPS[[Outstanding]:[Poor]],MATCH($BZ49,TBHPS[[helper]:[helper]],0),CN$19)&lt;&gt;"",CN$20,""),
CN$20)))),
CN$20),CN$20)</f>
        <v>2</v>
      </c>
      <c r="CO49" s="359" cm="1">
        <f t="array" ref="CO49">IFERROR(IF($BZ49&lt;&gt;"",
IF(AND(teacher_type="R",career_stage="P"),
    IF(INDEX(RPS[[Outstanding]:[Poor]],MATCH($BZ49,RPS[[helper]:[helper]],0),CO$19)&lt;&gt;"",CO$20,""),
IF(AND(teacher_type="R",career_stage="HP"),
    IF(INDEX(RHPS[[Outstanding]:[Poor]],MATCH($BZ49,RHPS[[helper]:[helper]],0),CO$19)&lt;&gt;"",CO$20,""),
IF(AND(teacher_type="TB",career_stage="P"),
    IF(INDEX(TBPS[[Outstanding]:[Poor]],MATCH($BZ49,TBPS[[helper]:[helper]],0),CO$19)&lt;&gt;"",CO$20,""),
IF(AND(teacher_type="TB",career_stage="HP"),
    IF(INDEX(TBHPS[[Outstanding]:[Poor]],MATCH($BZ49,TBHPS[[helper]:[helper]],0),CO$19)&lt;&gt;"",CO$20,""),
CO$20)))),
CO$20),CO$20)</f>
        <v>1</v>
      </c>
      <c r="CP49" s="360">
        <f t="shared" si="28"/>
        <v>5</v>
      </c>
      <c r="CQ49" s="359" cm="1">
        <f t="array" ref="CQ49">IFERROR(IF($CA49&lt;&gt;"",
IF(AND(teacher_type="R",career_stage="P"),
    IF(INDEX(RPS[[Outstanding]:[Poor]],MATCH($CA49,RPS[[helper]:[helper]],0),CQ$19)&lt;&gt;"",CQ$20,""),
IF(AND(teacher_type="R",career_stage="HP"),
    IF(INDEX(RHPS[[Outstanding]:[Poor]],MATCH($CA49,RHPS[[helper]:[helper]],0),CQ$19)&lt;&gt;"",CQ$20,""),
IF(AND(teacher_type="TB",career_stage="P"),
    IF(INDEX(TBPS[[Outstanding]:[Poor]],MATCH($CA49,TBPS[[helper]:[helper]],0),CQ$19)&lt;&gt;"",CQ$20,""),
IF(AND(teacher_type="TB",career_stage="HP"),
    IF(INDEX(TBHPS[[Outstanding]:[Poor]],MATCH($CA49,TBHPS[[helper]:[helper]],0),CQ$19)&lt;&gt;"",CQ$20,""),
CQ$20)))),
CQ$20),CQ$20)</f>
        <v>5</v>
      </c>
      <c r="CR49" s="359" cm="1">
        <f t="array" ref="CR49">IFERROR(IF($CA49&lt;&gt;"",
IF(AND(teacher_type="R",career_stage="P"),
    IF(INDEX(RPS[[Outstanding]:[Poor]],MATCH($CA49,RPS[[helper]:[helper]],0),CR$19)&lt;&gt;"",CR$20,""),
IF(AND(teacher_type="R",career_stage="HP"),
    IF(INDEX(RHPS[[Outstanding]:[Poor]],MATCH($CA49,RHPS[[helper]:[helper]],0),CR$19)&lt;&gt;"",CR$20,""),
IF(AND(teacher_type="TB",career_stage="P"),
    IF(INDEX(TBPS[[Outstanding]:[Poor]],MATCH($CA49,TBPS[[helper]:[helper]],0),CR$19)&lt;&gt;"",CR$20,""),
IF(AND(teacher_type="TB",career_stage="HP"),
    IF(INDEX(TBHPS[[Outstanding]:[Poor]],MATCH($CA49,TBHPS[[helper]:[helper]],0),CR$19)&lt;&gt;"",CR$20,""),
CR$20)))),
CR$20),CR$20)</f>
        <v>4</v>
      </c>
      <c r="CS49" s="359" cm="1">
        <f t="array" ref="CS49">IFERROR(IF($CA49&lt;&gt;"",
IF(AND(teacher_type="R",career_stage="P"),
    IF(INDEX(RPS[[Outstanding]:[Poor]],MATCH($CA49,RPS[[helper]:[helper]],0),CS$19)&lt;&gt;"",CS$20,""),
IF(AND(teacher_type="R",career_stage="HP"),
    IF(INDEX(RHPS[[Outstanding]:[Poor]],MATCH($CA49,RHPS[[helper]:[helper]],0),CS$19)&lt;&gt;"",CS$20,""),
IF(AND(teacher_type="TB",career_stage="P"),
    IF(INDEX(TBPS[[Outstanding]:[Poor]],MATCH($CA49,TBPS[[helper]:[helper]],0),CS$19)&lt;&gt;"",CS$20,""),
IF(AND(teacher_type="TB",career_stage="HP"),
    IF(INDEX(TBHPS[[Outstanding]:[Poor]],MATCH($CA49,TBHPS[[helper]:[helper]],0),CS$19)&lt;&gt;"",CS$20,""),
CS$20)))),
CS$20),CS$20)</f>
        <v>3</v>
      </c>
      <c r="CT49" s="359" cm="1">
        <f t="array" ref="CT49">IFERROR(IF($CA49&lt;&gt;"",
IF(AND(teacher_type="R",career_stage="P"),
    IF(INDEX(RPS[[Outstanding]:[Poor]],MATCH($CA49,RPS[[helper]:[helper]],0),CT$19)&lt;&gt;"",CT$20,""),
IF(AND(teacher_type="R",career_stage="HP"),
    IF(INDEX(RHPS[[Outstanding]:[Poor]],MATCH($CA49,RHPS[[helper]:[helper]],0),CT$19)&lt;&gt;"",CT$20,""),
IF(AND(teacher_type="TB",career_stage="P"),
    IF(INDEX(TBPS[[Outstanding]:[Poor]],MATCH($CA49,TBPS[[helper]:[helper]],0),CT$19)&lt;&gt;"",CT$20,""),
IF(AND(teacher_type="TB",career_stage="HP"),
    IF(INDEX(TBHPS[[Outstanding]:[Poor]],MATCH($CA49,TBHPS[[helper]:[helper]],0),CT$19)&lt;&gt;"",CT$20,""),
CT$20)))),
CT$20),CT$20)</f>
        <v>2</v>
      </c>
      <c r="CU49" s="359" cm="1">
        <f t="array" ref="CU49">IFERROR(IF($CA49&lt;&gt;"",
IF(AND(teacher_type="R",career_stage="P"),
    IF(INDEX(RPS[[Outstanding]:[Poor]],MATCH($CA49,RPS[[helper]:[helper]],0),CU$19)&lt;&gt;"",CU$20,""),
IF(AND(teacher_type="R",career_stage="HP"),
    IF(INDEX(RHPS[[Outstanding]:[Poor]],MATCH($CA49,RHPS[[helper]:[helper]],0),CU$19)&lt;&gt;"",CU$20,""),
IF(AND(teacher_type="TB",career_stage="P"),
    IF(INDEX(TBPS[[Outstanding]:[Poor]],MATCH($CA49,TBPS[[helper]:[helper]],0),CU$19)&lt;&gt;"",CU$20,""),
IF(AND(teacher_type="TB",career_stage="HP"),
    IF(INDEX(TBHPS[[Outstanding]:[Poor]],MATCH($CA49,TBHPS[[helper]:[helper]],0),CU$19)&lt;&gt;"",CU$20,""),
CU$20)))),
CU$20),CU$20)</f>
        <v>1</v>
      </c>
      <c r="CV49" s="360">
        <f t="shared" si="29"/>
        <v>5</v>
      </c>
      <c r="CY49" s="443" t="b" cm="1">
        <f t="array" ref="CY49">IFERROR(AND(S$12,IF(AND($G49,$D49="COI"),
IF(AND(teacher_type="R",career_stage="P"),VLOOKUP($BF49,RPI[],COLUMN(RPI[cot1]),FALSE),
IF(AND(teacher_type="R",career_stage="HP"),VLOOKUP($BF49,RHPI[],COLUMN(RHPI[cot1]),FALSE),
IF(AND(teacher_type="TB",career_stage="P"),VLOOKUP($BF49,TBPI[],COLUMN(TBPI[cot1]),FALSE),
IF(AND(teacher_type="TB",career_stage="HP"),VLOOKUP($BF49,TBHPI[],COLUMN(TBHPI[cot1]),FALSE),FALSE)))),
FALSE)),FALSE)</f>
        <v>0</v>
      </c>
      <c r="CZ49" s="443" t="b">
        <f t="shared" si="30"/>
        <v>0</v>
      </c>
      <c r="DA49" s="443" t="b" cm="1">
        <f t="array" ref="DA49">IFERROR(AND(U$12,IF(AND($G49,$D49="COI"),
IF(AND(teacher_type="R",career_stage="P"),VLOOKUP($BF49,RPI[],COLUMN(RPI[cot2]),FALSE),
IF(AND(teacher_type="R",career_stage="HP"),VLOOKUP($BF49,RHPI[],COLUMN(RHPI[cot2]),FALSE),
IF(AND(teacher_type="TB",career_stage="P"),VLOOKUP($BF49,TBPI[],COLUMN(TBPI[cot2]),FALSE),
IF(AND(teacher_type="TB",career_stage="HP"),VLOOKUP($BF49,TBHPI[],COLUMN(TBHPI[cot2]),FALSE),FALSE)))),
FALSE)),FALSE)</f>
        <v>0</v>
      </c>
      <c r="DB49" s="443" t="b">
        <f t="shared" si="31"/>
        <v>0</v>
      </c>
      <c r="DC49" s="443" t="b" cm="1">
        <f t="array" ref="DC49">IFERROR(AND(W$12,IF(AND($G49,$D49="COI"),
IF(AND(teacher_type="R",career_stage="P"),VLOOKUP($BF49,RPI[],COLUMN(RPI[cot3]),FALSE),
IF(AND(teacher_type="R",career_stage="HP"),VLOOKUP($BF49,RHPI[],COLUMN(RHPI[cot3]),FALSE),
IF(AND(teacher_type="TB",career_stage="P"),VLOOKUP($BF49,TBPI[],COLUMN(TBPI[cot3]),FALSE),
IF(AND(teacher_type="TB",career_stage="HP"),VLOOKUP($BF49,TBHPI[],COLUMN(TBHPI[cot3]),FALSE),FALSE)))),
FALSE)),FALSE)</f>
        <v>0</v>
      </c>
      <c r="DD49" s="443" t="b">
        <f t="shared" si="32"/>
        <v>0</v>
      </c>
      <c r="DE49" s="443" t="b" cm="1">
        <f t="array" ref="DE49">IFERROR(AND(Y$12,IF(AND($G49,$D49="COI"),
IF(AND(teacher_type="R",career_stage="P"),VLOOKUP($BF49,RPI[],COLUMN(RPI[cot4]),FALSE),
IF(AND(teacher_type="R",career_stage="HP"),VLOOKUP($BF49,RHPI[],COLUMN(RHPI[cot4]),FALSE),
IF(AND(teacher_type="TB",career_stage="P"),VLOOKUP($BF49,TBPI[],COLUMN(TBPI[cot4]),FALSE),
IF(AND(teacher_type="TB",career_stage="HP"),VLOOKUP($BF49,TBHPI[],COLUMN(TBHPI[cot4]),FALSE),FALSE)))),
FALSE)),FALSE)</f>
        <v>0</v>
      </c>
      <c r="DF49" s="443" t="b">
        <f t="shared" si="33"/>
        <v>0</v>
      </c>
      <c r="DG49" s="150">
        <f t="shared" si="34"/>
        <v>0</v>
      </c>
      <c r="DH49" s="154">
        <f>IF(AND(CY49,LOWER(TRIM(S$20))=LOWER(TRIM(data2!$U$35))),1,0) +
IF(AND(DA49,LOWER(TRIM(U$20))=LOWER(TRIM(data2!$U$35))),1,0) +
IF(AND(DC49,LOWER(TRIM(W$20))=LOWER(TRIM(data2!$U$35))),1,0) +
IF(AND(DE49,LOWER(TRIM(Y$20))=LOWER(TRIM(data2!$U$35))),1,0)</f>
        <v>0</v>
      </c>
      <c r="DJ49" s="154">
        <f t="shared" si="35"/>
        <v>0</v>
      </c>
    </row>
    <row r="50" spans="1:114" s="154" customFormat="1" ht="24.95" hidden="1" customHeight="1" x14ac:dyDescent="0.25">
      <c r="A50" s="156"/>
      <c r="B50" s="154">
        <v>29</v>
      </c>
      <c r="C50" s="150" t="str">
        <f>IFERROR(IF(AND(teacher_type="R",career_stage="P"),VLOOKUP(O50,RPI[],COLUMNS(RPI[[Strand]:[admin_selected_coi_ncoi]]),FALSE),IF(AND(teacher_type="R",career_stage="HP"),VLOOKUP(O50,RHPI[],COLUMNS(RHPI[[Strand]:[admin_selected_coi_ncoi]]),FALSE),IF(AND(teacher_type="TB",career_stage="P"),VLOOKUP(O50,TBPI[],COLUMNS(TBPI[[Strand]:[admin_selected_coi_ncoi]]),FALSE),IF(AND(teacher_type="TB",career_stage="HP"),VLOOKUP(O50,TBHPI[],COLUMNS(TBHPI[[Strand]:[admin_selected_coi_ncoi]]),FALSE),"NCOI")))),"NCOI")</f>
        <v>NCOI</v>
      </c>
      <c r="D50" s="150" t="str">
        <f t="shared" si="10"/>
        <v/>
      </c>
      <c r="E50" s="150">
        <f>IFERROR(IF(AND(teacher_type="R",career_stage="P"),VLOOKUP($O50,RPI[[Strand]:[Domain]],COLUMNS(RPI[[Strand]:[Domain]]),FALSE),IF(AND(teacher_type="R",career_stage="HP"),VLOOKUP($O50,RHPI[[Strand]:[Domain]],COLUMNS(RHPI[[Strand]:[Domain]]),FALSE),IF(AND(teacher_type="TB",career_stage="P"),VLOOKUP($O50,TBPI[[Strand]:[Domain]],COLUMNS(TBPI[[Strand]:[Domain]]),FALSE),IF(AND(teacher_type="TB",career_stage="HP"),VLOOKUP($O50,TBHPI[[Strand]:[Domain]],COLUMNS(TBHPI[[Strand]:[Domain]]),FALSE),"")))),"")</f>
        <v>6</v>
      </c>
      <c r="F50" s="155" t="b">
        <f>AND(COUNTIFS($E$22:$E50,E50,$G$22:$G50,TRUE)=1,$G50)</f>
        <v>0</v>
      </c>
      <c r="G50" s="212" t="b">
        <f>IFERROR(IF(AND(teacher_type="R",career_stage="P"),VLOOKUP($O50,RPI[],COLUMNS(RPI[[Strand]:[Selected]]),FALSE),IF(AND(teacher_type="R",career_stage="HP"),VLOOKUP($O50,RHPI[],COLUMNS(RHPI[[Strand]:[Selected]]),FALSE),IF(AND(teacher_type="TB",career_stage="P"),VLOOKUP($O50,TBPI[],COLUMNS(TBPI[[Strand]:[Selected]]),FALSE),IF(AND(teacher_type="TB",career_stage="HP"),VLOOKUP($O50,TBHPI[],COLUMNS(TBHPI[[Strand]:[Selected]]),FALSE),FALSE)))),FALSE)</f>
        <v>0</v>
      </c>
      <c r="H50" s="156" t="b">
        <f>IFERROR(IF(AND(teacher_type="R",career_stage="P"),AND(COUNTIFS(RPS[Strand],$O50,RPS[QET],H$21)&gt;0,$G50),IF(AND(teacher_type="R",career_stage="HP"),AND(COUNTIFS(RHPS[Strand],$O50,RHPS[QET],H$21)&gt;0,$G50),IF(AND(teacher_type="TB",career_stage="P"),AND(COUNTIFS(TBPS[Strand],$O50,TBPS[QET],H$21)&gt;0,$G50),IF(AND(teacher_type="TB",career_stage="HP"),AND(COUNTIFS(TBHPS[Strand],$O50,TBHPS[QET],H$21)&gt;0,$G50),FALSE)))),FALSE)</f>
        <v>0</v>
      </c>
      <c r="I50" s="156" t="b">
        <f t="shared" si="11"/>
        <v>0</v>
      </c>
      <c r="J50" s="156" t="b">
        <f>IFERROR(IF(AND(teacher_type="R",career_stage="P"),AND(COUNTIFS(RPS[Strand],$O50,RPS[QET],J$21)&gt;0,$G50),IF(AND(teacher_type="R",career_stage="HP"),AND(COUNTIFS(RHPS[Strand],$O50,RHPS[QET],J$21)&gt;0,$G50),IF(AND(teacher_type="TB",career_stage="P"),AND(COUNTIFS(TBPS[Strand],$O50,TBPS[QET],J$21)&gt;0,$G50),IF(AND(teacher_type="TB",career_stage="HP"),AND(COUNTIFS(TBHPS[Strand],$O50,TBHPS[QET],J$21)&gt;0,$G50),FALSE)))),FALSE)</f>
        <v>0</v>
      </c>
      <c r="K50" s="156" t="b">
        <f>IFERROR(IF(AND(teacher_type="R",career_stage="P"),AND(COUNTIFS(RPS[Strand],$O50,RPS[QET],K$21)&gt;0,$G50),IF(AND(teacher_type="R",career_stage="HP"),AND(COUNTIFS(RHPS[Strand],$O50,RHPS[QET],K$21)&gt;0,$G50),IF(AND(teacher_type="TB",career_stage="P"),AND(COUNTIFS(TBPS[Strand],$O50,TBPS[QET],K$21)&gt;0,$G50),IF(AND(teacher_type="TB",career_stage="HP"),AND(COUNTIFS(TBHPS[Strand],$O50,TBHPS[QET],K$21)&gt;0,$G50),FALSE)))),FALSE)</f>
        <v>0</v>
      </c>
      <c r="L50" s="156" t="b">
        <f t="shared" si="12"/>
        <v>0</v>
      </c>
      <c r="M50" s="165" t="str">
        <f t="shared" si="13"/>
        <v/>
      </c>
      <c r="N50" s="48" t="str">
        <f>IF($G50,COUNTIF($G$22:$G50,TRUE),"")</f>
        <v/>
      </c>
      <c r="O50" s="48" t="str" cm="1">
        <f t="array" ref="O50">IFERROR(IF(AND(teacher_type="R",career_stage="P"),INDEX(RPI[Strand],$B50),IF(AND(teacher_type="R",career_stage="HP"),INDEX(RHPI[Strand],$B50),IF(AND(teacher_type="TB",career_stage="P"),INDEX(TBPI[Strand],$B50),IF(AND(teacher_type="TB",career_stage="HP"),INDEX(TBHPI[Strand],$B50),"")))),"")</f>
        <v>6.1.2</v>
      </c>
      <c r="P50" s="166" t="str">
        <f>$C$50</f>
        <v>NCOI</v>
      </c>
      <c r="Q50" s="173">
        <f>IFERROR(IF(AND(teacher_type="R",career_stage="P"),VLOOKUP(O50,RPI[],COLUMNS(RPI[[Strand]:[Weight]]),FALSE), IF(AND(teacher_type="R",career_stage="HP"),VLOOKUP(O50,RHPI[],COLUMNS(RHPI[[Strand]:[Weight]]),FALSE), IF(AND(teacher_type="TB",career_stage="P"),VLOOKUP(O50,TBPI[],COLUMNS(TBPI[[Strand]:[Weight]]),FALSE), IF(AND(teacher_type="TB",career_stage="HP"),VLOOKUP(O50,TBHPI[],COLUMNS(TBHPI[[Strand]:[Weight]]),FALSE),0)))),0)</f>
        <v>0</v>
      </c>
      <c r="R50" s="174">
        <f>COUNTIFS($D$22:D50,"COI",$G$22:G50,TRUE)</f>
        <v>9</v>
      </c>
      <c r="S50" s="484"/>
      <c r="T50" s="175" t="str">
        <f>IFERROR(IF(LOWER(TRIM(S$20))=LOWER(TRIM(data2!$U$35)),"",IF(AND($G50,$D50="COI",S$12,CZ50),IF(OR(LOWER(TRIM(S$20))=LOWER(TRIM(data2!$U$36)),ISBLANK(S50)),1,IF(career_stage="P",VLOOKUP(S50,P_COT_vlookup,2,FALSE),IF(career_stage="HP",VLOOKUP(S50,HP_COT_vlookup,2,FALSE),""))),"")),"")</f>
        <v/>
      </c>
      <c r="U50" s="471"/>
      <c r="V50" s="176" t="str">
        <f>IFERROR(IF(LOWER(TRIM(U$20))=LOWER(TRIM(data2!$U$35)),"",IF(AND($G50,$D50="COI",U$12,DB50),IF(OR(LOWER(TRIM(U$20))=LOWER(TRIM(data2!$U$36)),ISBLANK(U50)),1,IF(career_stage="P",VLOOKUP(U50,P_COT_vlookup,2,FALSE),IF(career_stage="HP",VLOOKUP(U50,HP_COT_vlookup,2,FALSE),""))),"")),"")</f>
        <v/>
      </c>
      <c r="W50" s="484"/>
      <c r="X50" s="175" t="str">
        <f>IFERROR(IF(LOWER(TRIM(W$20))=LOWER(TRIM(data2!$U$35)),"",IF(AND($G50,$D50="COI",W$12,DD50),IF(OR(LOWER(TRIM(W$20))=LOWER(TRIM(data2!$U$36)),ISBLANK(W50)),1,IF(career_stage="P",VLOOKUP(W50,P_COT_vlookup,2,FALSE),IF(career_stage="HP",VLOOKUP(W50,HP_COT_vlookup,2,FALSE),""))),"")),"")</f>
        <v/>
      </c>
      <c r="Y50" s="471"/>
      <c r="Z50" s="176" t="str">
        <f>IFERROR(IF(LOWER(TRIM(Y$20))=LOWER(TRIM(data2!$U$35)),"",IF(AND($G50,$D50="COI",Y$12,DF50),IF(OR(LOWER(TRIM(Y$20))=LOWER(TRIM(data2!$U$36)),ISBLANK(Y50)),1,IF(career_stage="P",VLOOKUP(Y50,P_COT_vlookup,2,FALSE),IF(career_stage="HP",VLOOKUP(Y50,HP_COT_vlookup,2,FALSE),""))),"")),"")</f>
        <v/>
      </c>
      <c r="AA50" s="171">
        <f t="shared" si="14"/>
        <v>0</v>
      </c>
      <c r="AB50" s="471"/>
      <c r="AC50" s="473"/>
      <c r="AD50" s="473"/>
      <c r="AE50" s="49">
        <f t="shared" si="2"/>
        <v>0</v>
      </c>
      <c r="AF50" s="49">
        <f t="shared" si="3"/>
        <v>0</v>
      </c>
      <c r="AG50" s="172" t="str">
        <f t="shared" si="4"/>
        <v>Poor</v>
      </c>
      <c r="AI50" s="196" t="b">
        <f t="shared" si="5"/>
        <v>1</v>
      </c>
      <c r="AJ50" s="154" t="b">
        <v>1</v>
      </c>
      <c r="AK50" s="154" t="b">
        <v>1</v>
      </c>
      <c r="AL50" s="196" t="b">
        <f t="shared" si="15"/>
        <v>1</v>
      </c>
      <c r="AM50" s="154" t="b">
        <v>1</v>
      </c>
      <c r="AN50" s="196" t="b">
        <f t="shared" si="15"/>
        <v>1</v>
      </c>
      <c r="AO50" s="154" t="b">
        <v>1</v>
      </c>
      <c r="AP50" s="196" t="b">
        <f t="shared" si="15"/>
        <v>1</v>
      </c>
      <c r="AQ50" s="154" t="b">
        <v>1</v>
      </c>
      <c r="AR50" s="196" t="b">
        <f t="shared" si="15"/>
        <v>1</v>
      </c>
      <c r="AS50" s="154" t="b">
        <v>1</v>
      </c>
      <c r="AT50" s="154" t="b">
        <v>1</v>
      </c>
      <c r="AU50" s="196" t="b">
        <f t="shared" si="6"/>
        <v>1</v>
      </c>
      <c r="AV50" s="196" t="b">
        <f t="shared" si="7"/>
        <v>1</v>
      </c>
      <c r="AW50" s="196" t="b">
        <f t="shared" si="8"/>
        <v>1</v>
      </c>
      <c r="AX50" s="47" t="b">
        <v>1</v>
      </c>
      <c r="AY50" s="47" t="b">
        <v>1</v>
      </c>
      <c r="AZ50" s="47" t="b">
        <v>1</v>
      </c>
      <c r="BF50" s="154" t="str">
        <f t="shared" si="9"/>
        <v>6.1.2</v>
      </c>
      <c r="BG50" s="196" t="b" cm="1">
        <f t="array" ref="BG50">IFERROR(IF(OR(LOWER(TRIM(S$20))=LOWER(TRIM(data2!$U$35)),LOWER(TRIM(S$20))=LOWER(TRIM(data2!$U$36))),FALSE,AND(S$12,IF(AND($G50,$D50="COI"),
IF(AND(teacher_type="R",career_stage="P"),VLOOKUP($BF50,RPI[],COLUMN(RPI[cot1]),FALSE),
IF(AND(teacher_type="R",career_stage="HP"),VLOOKUP($BF50,RHPI[],COLUMN(RHPI[cot1]),FALSE),
IF(AND(teacher_type="TB",career_stage="P"),VLOOKUP($BF50,TBPI[],COLUMN(TBPI[cot1]),FALSE),
IF(AND(teacher_type="TB",career_stage="HP"),VLOOKUP($BF50,TBHPI[],COLUMN(TBHPI[cot1]),FALSE),FALSE)))),
FALSE))),FALSE)</f>
        <v>0</v>
      </c>
      <c r="BH50" s="154" t="b">
        <v>0</v>
      </c>
      <c r="BI50" s="196" t="b" cm="1">
        <f t="array" ref="BI50">IFERROR(IF(OR(LOWER(TRIM(U$20))=LOWER(TRIM(data2!$U$35)),LOWER(TRIM(U$20))=LOWER(TRIM(data2!$U$36))),FALSE,AND(U$12,IF(AND($G50,$D50="COI"),
IF(AND(teacher_type="R",career_stage="P"),VLOOKUP($BF50,RPI[],COLUMN(RPI[cot2]),FALSE),
IF(AND(teacher_type="R",career_stage="HP"),VLOOKUP($BF50,RHPI[],COLUMN(RHPI[cot2]),FALSE),
IF(AND(teacher_type="TB",career_stage="P"),VLOOKUP($BF50,TBPI[],COLUMN(TBPI[cot2]),FALSE),
IF(AND(teacher_type="TB",career_stage="HP"),VLOOKUP($BF50,TBHPI[],COLUMN(TBHPI[cot2]),FALSE),FALSE)))),
FALSE))),FALSE)</f>
        <v>0</v>
      </c>
      <c r="BJ50" s="154" t="b">
        <v>0</v>
      </c>
      <c r="BK50" s="196" t="b" cm="1">
        <f t="array" ref="BK50">IFERROR(IF(OR(LOWER(TRIM(W$20))=LOWER(TRIM(data2!$U$35)),LOWER(TRIM(W$20))=LOWER(TRIM(data2!$U$36))),FALSE,AND(W$12,IF(AND($G50,$D50="COI"),
IF(AND(teacher_type="R",career_stage="P"),VLOOKUP($BF50,RPI[],COLUMN(RPI[cot3]),FALSE),
IF(AND(teacher_type="R",career_stage="HP"),VLOOKUP($BF50,RHPI[],COLUMN(RHPI[cot3]),FALSE),
IF(AND(teacher_type="TB",career_stage="P"),VLOOKUP($BF50,TBPI[],COLUMN(TBPI[cot3]),FALSE),
IF(AND(teacher_type="TB",career_stage="HP"),VLOOKUP($BF50,TBHPI[],COLUMN(TBHPI[cot3]),FALSE),FALSE)))),
FALSE))),FALSE)</f>
        <v>0</v>
      </c>
      <c r="BL50" s="154" t="b">
        <v>0</v>
      </c>
      <c r="BM50" s="196" t="b" cm="1">
        <f t="array" ref="BM50">IFERROR(IF(OR(LOWER(TRIM(Y$20))=LOWER(TRIM(data2!$U$35)),LOWER(TRIM(Y$20))=LOWER(TRIM(data2!$U$36))),FALSE,AND(Y$12,IF(AND($G50,$D50="COI"),
IF(AND(teacher_type="R",career_stage="P"),VLOOKUP($BF50,RPI[],COLUMN(RPI[cot4]),FALSE),
IF(AND(teacher_type="R",career_stage="HP"),VLOOKUP($BF50,RHPI[],COLUMN(RHPI[cot4]),FALSE),
IF(AND(teacher_type="TB",career_stage="P"),VLOOKUP($BF50,TBPI[],COLUMN(TBPI[cot4]),FALSE),
IF(AND(teacher_type="TB",career_stage="HP"),VLOOKUP($BF50,TBHPI[],COLUMN(TBHPI[cot4]),FALSE),FALSE)))),
FALSE))),FALSE)</f>
        <v>0</v>
      </c>
      <c r="BN50" s="154" t="b">
        <v>0</v>
      </c>
      <c r="BO50" s="150">
        <f t="shared" si="16"/>
        <v>0</v>
      </c>
      <c r="BP50" s="196" t="b">
        <f t="shared" si="17"/>
        <v>0</v>
      </c>
      <c r="BQ50" s="196" t="b">
        <f>IFERROR(IF(OR(NOT(CZ50),LOWER(TRIM(S$20))=LOWER(TRIM(data2!$U$35))),TRUE,IF(AND(CZ50,LOWER(TRIM(S$20))=LOWER(TRIM(data2!$U$36))),FALSE)),FALSE)</f>
        <v>1</v>
      </c>
      <c r="BR50" s="196" t="b">
        <f t="shared" si="18"/>
        <v>0</v>
      </c>
      <c r="BS50" s="196" t="b">
        <f>IFERROR(IF(OR(NOT(DB50),LOWER(TRIM(U$20))=LOWER(TRIM(data2!$U$35))),TRUE,IF(AND(DB50,LOWER(TRIM(U$20))=LOWER(TRIM(data2!$U$36))),FALSE)),FALSE)</f>
        <v>1</v>
      </c>
      <c r="BT50" s="196" t="b">
        <f t="shared" si="19"/>
        <v>0</v>
      </c>
      <c r="BU50" s="196" t="b">
        <f>IFERROR(IF(OR(NOT(DD50),LOWER(TRIM(W$20))=LOWER(TRIM(data2!$U$35))),TRUE,IF(AND(DD50,LOWER(TRIM(W$20))=LOWER(TRIM(data2!$U$36))),FALSE)),FALSE)</f>
        <v>1</v>
      </c>
      <c r="BV50" s="196" t="b">
        <f t="shared" si="20"/>
        <v>0</v>
      </c>
      <c r="BW50" s="196" t="b">
        <f>IFERROR(IF(OR(NOT(DF50),LOWER(TRIM(Y$20))=LOWER(TRIM(data2!$U$35))),TRUE,IF(AND(DF50,LOWER(TRIM(Y$20))=LOWER(TRIM(data2!$U$36))),FALSE)),FALSE)</f>
        <v>1</v>
      </c>
      <c r="BY50" s="154" t="str">
        <f t="shared" si="21"/>
        <v/>
      </c>
      <c r="BZ50" s="154" t="str">
        <f t="shared" si="22"/>
        <v/>
      </c>
      <c r="CA50" s="154" t="str">
        <f t="shared" si="23"/>
        <v/>
      </c>
      <c r="CB50" s="154" t="str">
        <f t="shared" si="24"/>
        <v>CE50:CI50</v>
      </c>
      <c r="CC50" s="154" t="str">
        <f t="shared" si="25"/>
        <v>CK50:CO50</v>
      </c>
      <c r="CD50" s="154" t="str">
        <f t="shared" si="26"/>
        <v>CQ50:CU50</v>
      </c>
      <c r="CE50" s="359" cm="1">
        <f t="array" ref="CE50">IFERROR(IF($BY50&lt;&gt;"",
IF(AND(teacher_type="R",career_stage="P"),
    IF(INDEX(RPS[[Outstanding]:[Poor]],MATCH($BY50,RPS[[helper]:[helper]],0),CE$19)&lt;&gt;"",CE$20,""),
IF(AND(teacher_type="R",career_stage="HP"),
    IF(INDEX(RHPS[[Outstanding]:[Poor]],MATCH($BY50,RHPS[[helper]:[helper]],0),CE$19)&lt;&gt;"",CE$20,""),
IF(AND(teacher_type="TB",career_stage="P"),
    IF(INDEX(TBPS[[Outstanding]:[Poor]],MATCH($BY50,TBPS[[helper]:[helper]],0),CE$19)&lt;&gt;"",CE$20,""),
IF(AND(teacher_type="TB",career_stage="HP"),
    IF(INDEX(TBHPS[[Outstanding]:[Poor]],MATCH($BY50,TBHPS[[helper]:[helper]],0),CE$19)&lt;&gt;"",CE$20,""),
CE$20)))),
CE$20),CE$20)</f>
        <v>5</v>
      </c>
      <c r="CF50" s="359" cm="1">
        <f t="array" ref="CF50">IFERROR(IF($BY50&lt;&gt;"",
IF(AND(teacher_type="R",career_stage="P"),
    IF(INDEX(RPS[[Outstanding]:[Poor]],MATCH($BY50,RPS[[helper]:[helper]],0),CF$19)&lt;&gt;"",CF$20,""),
IF(AND(teacher_type="R",career_stage="HP"),
    IF(INDEX(RHPS[[Outstanding]:[Poor]],MATCH($BY50,RHPS[[helper]:[helper]],0),CF$19)&lt;&gt;"",CF$20,""),
IF(AND(teacher_type="TB",career_stage="P"),
    IF(INDEX(TBPS[[Outstanding]:[Poor]],MATCH($BY50,TBPS[[helper]:[helper]],0),CF$19)&lt;&gt;"",CF$20,""),
IF(AND(teacher_type="TB",career_stage="HP"),
    IF(INDEX(TBHPS[[Outstanding]:[Poor]],MATCH($BY50,TBHPS[[helper]:[helper]],0),CF$19)&lt;&gt;"",CF$20,""),
CF$20)))),
CF$20),CF$20)</f>
        <v>4</v>
      </c>
      <c r="CG50" s="359" cm="1">
        <f t="array" ref="CG50">IFERROR(IF($BY50&lt;&gt;"",
IF(AND(teacher_type="R",career_stage="P"),
    IF(INDEX(RPS[[Outstanding]:[Poor]],MATCH($BY50,RPS[[helper]:[helper]],0),CG$19)&lt;&gt;"",CG$20,""),
IF(AND(teacher_type="R",career_stage="HP"),
    IF(INDEX(RHPS[[Outstanding]:[Poor]],MATCH($BY50,RHPS[[helper]:[helper]],0),CG$19)&lt;&gt;"",CG$20,""),
IF(AND(teacher_type="TB",career_stage="P"),
    IF(INDEX(TBPS[[Outstanding]:[Poor]],MATCH($BY50,TBPS[[helper]:[helper]],0),CG$19)&lt;&gt;"",CG$20,""),
IF(AND(teacher_type="TB",career_stage="HP"),
    IF(INDEX(TBHPS[[Outstanding]:[Poor]],MATCH($BY50,TBHPS[[helper]:[helper]],0),CG$19)&lt;&gt;"",CG$20,""),
CG$20)))),
CG$20),CG$20)</f>
        <v>3</v>
      </c>
      <c r="CH50" s="359" cm="1">
        <f t="array" ref="CH50">IFERROR(IF($BY50&lt;&gt;"",
IF(AND(teacher_type="R",career_stage="P"),
    IF(INDEX(RPS[[Outstanding]:[Poor]],MATCH($BY50,RPS[[helper]:[helper]],0),CH$19)&lt;&gt;"",CH$20,""),
IF(AND(teacher_type="R",career_stage="HP"),
    IF(INDEX(RHPS[[Outstanding]:[Poor]],MATCH($BY50,RHPS[[helper]:[helper]],0),CH$19)&lt;&gt;"",CH$20,""),
IF(AND(teacher_type="TB",career_stage="P"),
    IF(INDEX(TBPS[[Outstanding]:[Poor]],MATCH($BY50,TBPS[[helper]:[helper]],0),CH$19)&lt;&gt;"",CH$20,""),
IF(AND(teacher_type="TB",career_stage="HP"),
    IF(INDEX(TBHPS[[Outstanding]:[Poor]],MATCH($BY50,TBHPS[[helper]:[helper]],0),CH$19)&lt;&gt;"",CH$20,""),
CH$20)))),
CH$20),CH$20)</f>
        <v>2</v>
      </c>
      <c r="CI50" s="359" cm="1">
        <f t="array" ref="CI50">IFERROR(IF($BY50&lt;&gt;"",
IF(AND(teacher_type="R",career_stage="P"),
    IF(INDEX(RPS[[Outstanding]:[Poor]],MATCH($BY50,RPS[[helper]:[helper]],0),CI$19)&lt;&gt;"",CI$20,""),
IF(AND(teacher_type="R",career_stage="HP"),
    IF(INDEX(RHPS[[Outstanding]:[Poor]],MATCH($BY50,RHPS[[helper]:[helper]],0),CI$19)&lt;&gt;"",CI$20,""),
IF(AND(teacher_type="TB",career_stage="P"),
    IF(INDEX(TBPS[[Outstanding]:[Poor]],MATCH($BY50,TBPS[[helper]:[helper]],0),CI$19)&lt;&gt;"",CI$20,""),
IF(AND(teacher_type="TB",career_stage="HP"),
    IF(INDEX(TBHPS[[Outstanding]:[Poor]],MATCH($BY50,TBHPS[[helper]:[helper]],0),CI$19)&lt;&gt;"",CI$20,""),
CI$20)))),
CI$20),CI$20)</f>
        <v>1</v>
      </c>
      <c r="CJ50" s="360">
        <f t="shared" si="27"/>
        <v>5</v>
      </c>
      <c r="CK50" s="359" cm="1">
        <f t="array" ref="CK50">IFERROR(IF($BZ50&lt;&gt;"",
IF(AND(teacher_type="R",career_stage="P"),
    IF(INDEX(RPS[[Outstanding]:[Poor]],MATCH($BZ50,RPS[[helper]:[helper]],0),CK$19)&lt;&gt;"",CK$20,""),
IF(AND(teacher_type="R",career_stage="HP"),
    IF(INDEX(RHPS[[Outstanding]:[Poor]],MATCH($BZ50,RHPS[[helper]:[helper]],0),CK$19)&lt;&gt;"",CK$20,""),
IF(AND(teacher_type="TB",career_stage="P"),
    IF(INDEX(TBPS[[Outstanding]:[Poor]],MATCH($BZ50,TBPS[[helper]:[helper]],0),CK$19)&lt;&gt;"",CK$20,""),
IF(AND(teacher_type="TB",career_stage="HP"),
    IF(INDEX(TBHPS[[Outstanding]:[Poor]],MATCH($BZ50,TBHPS[[helper]:[helper]],0),CK$19)&lt;&gt;"",CK$20,""),
CK$20)))),
CK$20),CK$20)</f>
        <v>5</v>
      </c>
      <c r="CL50" s="359" cm="1">
        <f t="array" ref="CL50">IFERROR(IF($BZ50&lt;&gt;"",
IF(AND(teacher_type="R",career_stage="P"),
    IF(INDEX(RPS[[Outstanding]:[Poor]],MATCH($BZ50,RPS[[helper]:[helper]],0),CL$19)&lt;&gt;"",CL$20,""),
IF(AND(teacher_type="R",career_stage="HP"),
    IF(INDEX(RHPS[[Outstanding]:[Poor]],MATCH($BZ50,RHPS[[helper]:[helper]],0),CL$19)&lt;&gt;"",CL$20,""),
IF(AND(teacher_type="TB",career_stage="P"),
    IF(INDEX(TBPS[[Outstanding]:[Poor]],MATCH($BZ50,TBPS[[helper]:[helper]],0),CL$19)&lt;&gt;"",CL$20,""),
IF(AND(teacher_type="TB",career_stage="HP"),
    IF(INDEX(TBHPS[[Outstanding]:[Poor]],MATCH($BZ50,TBHPS[[helper]:[helper]],0),CL$19)&lt;&gt;"",CL$20,""),
CL$20)))),
CL$20),CL$20)</f>
        <v>4</v>
      </c>
      <c r="CM50" s="359" cm="1">
        <f t="array" ref="CM50">IFERROR(IF($BZ50&lt;&gt;"",
IF(AND(teacher_type="R",career_stage="P"),
    IF(INDEX(RPS[[Outstanding]:[Poor]],MATCH($BZ50,RPS[[helper]:[helper]],0),CM$19)&lt;&gt;"",CM$20,""),
IF(AND(teacher_type="R",career_stage="HP"),
    IF(INDEX(RHPS[[Outstanding]:[Poor]],MATCH($BZ50,RHPS[[helper]:[helper]],0),CM$19)&lt;&gt;"",CM$20,""),
IF(AND(teacher_type="TB",career_stage="P"),
    IF(INDEX(TBPS[[Outstanding]:[Poor]],MATCH($BZ50,TBPS[[helper]:[helper]],0),CM$19)&lt;&gt;"",CM$20,""),
IF(AND(teacher_type="TB",career_stage="HP"),
    IF(INDEX(TBHPS[[Outstanding]:[Poor]],MATCH($BZ50,TBHPS[[helper]:[helper]],0),CM$19)&lt;&gt;"",CM$20,""),
CM$20)))),
CM$20),CM$20)</f>
        <v>3</v>
      </c>
      <c r="CN50" s="359" cm="1">
        <f t="array" ref="CN50">IFERROR(IF($BZ50&lt;&gt;"",
IF(AND(teacher_type="R",career_stage="P"),
    IF(INDEX(RPS[[Outstanding]:[Poor]],MATCH($BZ50,RPS[[helper]:[helper]],0),CN$19)&lt;&gt;"",CN$20,""),
IF(AND(teacher_type="R",career_stage="HP"),
    IF(INDEX(RHPS[[Outstanding]:[Poor]],MATCH($BZ50,RHPS[[helper]:[helper]],0),CN$19)&lt;&gt;"",CN$20,""),
IF(AND(teacher_type="TB",career_stage="P"),
    IF(INDEX(TBPS[[Outstanding]:[Poor]],MATCH($BZ50,TBPS[[helper]:[helper]],0),CN$19)&lt;&gt;"",CN$20,""),
IF(AND(teacher_type="TB",career_stage="HP"),
    IF(INDEX(TBHPS[[Outstanding]:[Poor]],MATCH($BZ50,TBHPS[[helper]:[helper]],0),CN$19)&lt;&gt;"",CN$20,""),
CN$20)))),
CN$20),CN$20)</f>
        <v>2</v>
      </c>
      <c r="CO50" s="359" cm="1">
        <f t="array" ref="CO50">IFERROR(IF($BZ50&lt;&gt;"",
IF(AND(teacher_type="R",career_stage="P"),
    IF(INDEX(RPS[[Outstanding]:[Poor]],MATCH($BZ50,RPS[[helper]:[helper]],0),CO$19)&lt;&gt;"",CO$20,""),
IF(AND(teacher_type="R",career_stage="HP"),
    IF(INDEX(RHPS[[Outstanding]:[Poor]],MATCH($BZ50,RHPS[[helper]:[helper]],0),CO$19)&lt;&gt;"",CO$20,""),
IF(AND(teacher_type="TB",career_stage="P"),
    IF(INDEX(TBPS[[Outstanding]:[Poor]],MATCH($BZ50,TBPS[[helper]:[helper]],0),CO$19)&lt;&gt;"",CO$20,""),
IF(AND(teacher_type="TB",career_stage="HP"),
    IF(INDEX(TBHPS[[Outstanding]:[Poor]],MATCH($BZ50,TBHPS[[helper]:[helper]],0),CO$19)&lt;&gt;"",CO$20,""),
CO$20)))),
CO$20),CO$20)</f>
        <v>1</v>
      </c>
      <c r="CP50" s="360">
        <f t="shared" si="28"/>
        <v>5</v>
      </c>
      <c r="CQ50" s="359" cm="1">
        <f t="array" ref="CQ50">IFERROR(IF($CA50&lt;&gt;"",
IF(AND(teacher_type="R",career_stage="P"),
    IF(INDEX(RPS[[Outstanding]:[Poor]],MATCH($CA50,RPS[[helper]:[helper]],0),CQ$19)&lt;&gt;"",CQ$20,""),
IF(AND(teacher_type="R",career_stage="HP"),
    IF(INDEX(RHPS[[Outstanding]:[Poor]],MATCH($CA50,RHPS[[helper]:[helper]],0),CQ$19)&lt;&gt;"",CQ$20,""),
IF(AND(teacher_type="TB",career_stage="P"),
    IF(INDEX(TBPS[[Outstanding]:[Poor]],MATCH($CA50,TBPS[[helper]:[helper]],0),CQ$19)&lt;&gt;"",CQ$20,""),
IF(AND(teacher_type="TB",career_stage="HP"),
    IF(INDEX(TBHPS[[Outstanding]:[Poor]],MATCH($CA50,TBHPS[[helper]:[helper]],0),CQ$19)&lt;&gt;"",CQ$20,""),
CQ$20)))),
CQ$20),CQ$20)</f>
        <v>5</v>
      </c>
      <c r="CR50" s="359" cm="1">
        <f t="array" ref="CR50">IFERROR(IF($CA50&lt;&gt;"",
IF(AND(teacher_type="R",career_stage="P"),
    IF(INDEX(RPS[[Outstanding]:[Poor]],MATCH($CA50,RPS[[helper]:[helper]],0),CR$19)&lt;&gt;"",CR$20,""),
IF(AND(teacher_type="R",career_stage="HP"),
    IF(INDEX(RHPS[[Outstanding]:[Poor]],MATCH($CA50,RHPS[[helper]:[helper]],0),CR$19)&lt;&gt;"",CR$20,""),
IF(AND(teacher_type="TB",career_stage="P"),
    IF(INDEX(TBPS[[Outstanding]:[Poor]],MATCH($CA50,TBPS[[helper]:[helper]],0),CR$19)&lt;&gt;"",CR$20,""),
IF(AND(teacher_type="TB",career_stage="HP"),
    IF(INDEX(TBHPS[[Outstanding]:[Poor]],MATCH($CA50,TBHPS[[helper]:[helper]],0),CR$19)&lt;&gt;"",CR$20,""),
CR$20)))),
CR$20),CR$20)</f>
        <v>4</v>
      </c>
      <c r="CS50" s="359" cm="1">
        <f t="array" ref="CS50">IFERROR(IF($CA50&lt;&gt;"",
IF(AND(teacher_type="R",career_stage="P"),
    IF(INDEX(RPS[[Outstanding]:[Poor]],MATCH($CA50,RPS[[helper]:[helper]],0),CS$19)&lt;&gt;"",CS$20,""),
IF(AND(teacher_type="R",career_stage="HP"),
    IF(INDEX(RHPS[[Outstanding]:[Poor]],MATCH($CA50,RHPS[[helper]:[helper]],0),CS$19)&lt;&gt;"",CS$20,""),
IF(AND(teacher_type="TB",career_stage="P"),
    IF(INDEX(TBPS[[Outstanding]:[Poor]],MATCH($CA50,TBPS[[helper]:[helper]],0),CS$19)&lt;&gt;"",CS$20,""),
IF(AND(teacher_type="TB",career_stage="HP"),
    IF(INDEX(TBHPS[[Outstanding]:[Poor]],MATCH($CA50,TBHPS[[helper]:[helper]],0),CS$19)&lt;&gt;"",CS$20,""),
CS$20)))),
CS$20),CS$20)</f>
        <v>3</v>
      </c>
      <c r="CT50" s="359" cm="1">
        <f t="array" ref="CT50">IFERROR(IF($CA50&lt;&gt;"",
IF(AND(teacher_type="R",career_stage="P"),
    IF(INDEX(RPS[[Outstanding]:[Poor]],MATCH($CA50,RPS[[helper]:[helper]],0),CT$19)&lt;&gt;"",CT$20,""),
IF(AND(teacher_type="R",career_stage="HP"),
    IF(INDEX(RHPS[[Outstanding]:[Poor]],MATCH($CA50,RHPS[[helper]:[helper]],0),CT$19)&lt;&gt;"",CT$20,""),
IF(AND(teacher_type="TB",career_stage="P"),
    IF(INDEX(TBPS[[Outstanding]:[Poor]],MATCH($CA50,TBPS[[helper]:[helper]],0),CT$19)&lt;&gt;"",CT$20,""),
IF(AND(teacher_type="TB",career_stage="HP"),
    IF(INDEX(TBHPS[[Outstanding]:[Poor]],MATCH($CA50,TBHPS[[helper]:[helper]],0),CT$19)&lt;&gt;"",CT$20,""),
CT$20)))),
CT$20),CT$20)</f>
        <v>2</v>
      </c>
      <c r="CU50" s="359" cm="1">
        <f t="array" ref="CU50">IFERROR(IF($CA50&lt;&gt;"",
IF(AND(teacher_type="R",career_stage="P"),
    IF(INDEX(RPS[[Outstanding]:[Poor]],MATCH($CA50,RPS[[helper]:[helper]],0),CU$19)&lt;&gt;"",CU$20,""),
IF(AND(teacher_type="R",career_stage="HP"),
    IF(INDEX(RHPS[[Outstanding]:[Poor]],MATCH($CA50,RHPS[[helper]:[helper]],0),CU$19)&lt;&gt;"",CU$20,""),
IF(AND(teacher_type="TB",career_stage="P"),
    IF(INDEX(TBPS[[Outstanding]:[Poor]],MATCH($CA50,TBPS[[helper]:[helper]],0),CU$19)&lt;&gt;"",CU$20,""),
IF(AND(teacher_type="TB",career_stage="HP"),
    IF(INDEX(TBHPS[[Outstanding]:[Poor]],MATCH($CA50,TBHPS[[helper]:[helper]],0),CU$19)&lt;&gt;"",CU$20,""),
CU$20)))),
CU$20),CU$20)</f>
        <v>1</v>
      </c>
      <c r="CV50" s="360">
        <f t="shared" si="29"/>
        <v>5</v>
      </c>
      <c r="CY50" s="443" t="b" cm="1">
        <f t="array" ref="CY50">IFERROR(AND(S$12,IF(AND($G50,$D50="COI"),
IF(AND(teacher_type="R",career_stage="P"),VLOOKUP($BF50,RPI[],COLUMN(RPI[cot1]),FALSE),
IF(AND(teacher_type="R",career_stage="HP"),VLOOKUP($BF50,RHPI[],COLUMN(RHPI[cot1]),FALSE),
IF(AND(teacher_type="TB",career_stage="P"),VLOOKUP($BF50,TBPI[],COLUMN(TBPI[cot1]),FALSE),
IF(AND(teacher_type="TB",career_stage="HP"),VLOOKUP($BF50,TBHPI[],COLUMN(TBHPI[cot1]),FALSE),FALSE)))),
FALSE)),FALSE)</f>
        <v>0</v>
      </c>
      <c r="CZ50" s="443" t="b">
        <f t="shared" si="30"/>
        <v>0</v>
      </c>
      <c r="DA50" s="443" t="b" cm="1">
        <f t="array" ref="DA50">IFERROR(AND(U$12,IF(AND($G50,$D50="COI"),
IF(AND(teacher_type="R",career_stage="P"),VLOOKUP($BF50,RPI[],COLUMN(RPI[cot2]),FALSE),
IF(AND(teacher_type="R",career_stage="HP"),VLOOKUP($BF50,RHPI[],COLUMN(RHPI[cot2]),FALSE),
IF(AND(teacher_type="TB",career_stage="P"),VLOOKUP($BF50,TBPI[],COLUMN(TBPI[cot2]),FALSE),
IF(AND(teacher_type="TB",career_stage="HP"),VLOOKUP($BF50,TBHPI[],COLUMN(TBHPI[cot2]),FALSE),FALSE)))),
FALSE)),FALSE)</f>
        <v>0</v>
      </c>
      <c r="DB50" s="443" t="b">
        <f t="shared" si="31"/>
        <v>0</v>
      </c>
      <c r="DC50" s="443" t="b" cm="1">
        <f t="array" ref="DC50">IFERROR(AND(W$12,IF(AND($G50,$D50="COI"),
IF(AND(teacher_type="R",career_stage="P"),VLOOKUP($BF50,RPI[],COLUMN(RPI[cot3]),FALSE),
IF(AND(teacher_type="R",career_stage="HP"),VLOOKUP($BF50,RHPI[],COLUMN(RHPI[cot3]),FALSE),
IF(AND(teacher_type="TB",career_stage="P"),VLOOKUP($BF50,TBPI[],COLUMN(TBPI[cot3]),FALSE),
IF(AND(teacher_type="TB",career_stage="HP"),VLOOKUP($BF50,TBHPI[],COLUMN(TBHPI[cot3]),FALSE),FALSE)))),
FALSE)),FALSE)</f>
        <v>0</v>
      </c>
      <c r="DD50" s="443" t="b">
        <f t="shared" si="32"/>
        <v>0</v>
      </c>
      <c r="DE50" s="443" t="b" cm="1">
        <f t="array" ref="DE50">IFERROR(AND(Y$12,IF(AND($G50,$D50="COI"),
IF(AND(teacher_type="R",career_stage="P"),VLOOKUP($BF50,RPI[],COLUMN(RPI[cot4]),FALSE),
IF(AND(teacher_type="R",career_stage="HP"),VLOOKUP($BF50,RHPI[],COLUMN(RHPI[cot4]),FALSE),
IF(AND(teacher_type="TB",career_stage="P"),VLOOKUP($BF50,TBPI[],COLUMN(TBPI[cot4]),FALSE),
IF(AND(teacher_type="TB",career_stage="HP"),VLOOKUP($BF50,TBHPI[],COLUMN(TBHPI[cot4]),FALSE),FALSE)))),
FALSE)),FALSE)</f>
        <v>0</v>
      </c>
      <c r="DF50" s="443" t="b">
        <f t="shared" si="33"/>
        <v>0</v>
      </c>
      <c r="DG50" s="150">
        <f t="shared" si="34"/>
        <v>0</v>
      </c>
      <c r="DH50" s="154">
        <f>IF(AND(CY50,LOWER(TRIM(S$20))=LOWER(TRIM(data2!$U$35))),1,0) +
IF(AND(DA50,LOWER(TRIM(U$20))=LOWER(TRIM(data2!$U$35))),1,0) +
IF(AND(DC50,LOWER(TRIM(W$20))=LOWER(TRIM(data2!$U$35))),1,0) +
IF(AND(DE50,LOWER(TRIM(Y$20))=LOWER(TRIM(data2!$U$35))),1,0)</f>
        <v>0</v>
      </c>
      <c r="DJ50" s="154">
        <f t="shared" si="35"/>
        <v>0</v>
      </c>
    </row>
    <row r="51" spans="1:114" s="154" customFormat="1" ht="24.95" customHeight="1" x14ac:dyDescent="0.25">
      <c r="A51" s="156"/>
      <c r="B51" s="154">
        <v>30</v>
      </c>
      <c r="C51" s="150" t="str">
        <f>IFERROR(IF(AND(teacher_type="R",career_stage="P"),VLOOKUP(O51,RPI[],COLUMNS(RPI[[Strand]:[admin_selected_coi_ncoi]]),FALSE),IF(AND(teacher_type="R",career_stage="HP"),VLOOKUP(O51,RHPI[],COLUMNS(RHPI[[Strand]:[admin_selected_coi_ncoi]]),FALSE),IF(AND(teacher_type="TB",career_stage="P"),VLOOKUP(O51,TBPI[],COLUMNS(TBPI[[Strand]:[admin_selected_coi_ncoi]]),FALSE),IF(AND(teacher_type="TB",career_stage="HP"),VLOOKUP(O51,TBHPI[],COLUMNS(TBHPI[[Strand]:[admin_selected_coi_ncoi]]),FALSE),"NCOI")))),"NCOI")</f>
        <v>NCOI</v>
      </c>
      <c r="D51" s="150" t="str">
        <f t="shared" si="10"/>
        <v>NCOI</v>
      </c>
      <c r="E51" s="150">
        <f>IFERROR(IF(AND(teacher_type="R",career_stage="P"),VLOOKUP($O51,RPI[[Strand]:[Domain]],COLUMNS(RPI[[Strand]:[Domain]]),FALSE),IF(AND(teacher_type="R",career_stage="HP"),VLOOKUP($O51,RHPI[[Strand]:[Domain]],COLUMNS(RHPI[[Strand]:[Domain]]),FALSE),IF(AND(teacher_type="TB",career_stage="P"),VLOOKUP($O51,TBPI[[Strand]:[Domain]],COLUMNS(TBPI[[Strand]:[Domain]]),FALSE),IF(AND(teacher_type="TB",career_stage="HP"),VLOOKUP($O51,TBHPI[[Strand]:[Domain]],COLUMNS(TBHPI[[Strand]:[Domain]]),FALSE),"")))),"")</f>
        <v>4</v>
      </c>
      <c r="F51" s="155" t="b">
        <f>AND(COUNTIFS($E$22:$E51,E51,$G$22:$G51,TRUE)=1,$G51)</f>
        <v>1</v>
      </c>
      <c r="G51" s="212" t="b">
        <f>IFERROR(IF(AND(teacher_type="R",career_stage="P"),VLOOKUP($O51,RPI[],COLUMNS(RPI[[Strand]:[Selected]]),FALSE),IF(AND(teacher_type="R",career_stage="HP"),VLOOKUP($O51,RHPI[],COLUMNS(RHPI[[Strand]:[Selected]]),FALSE),IF(AND(teacher_type="TB",career_stage="P"),VLOOKUP($O51,TBPI[],COLUMNS(TBPI[[Strand]:[Selected]]),FALSE),IF(AND(teacher_type="TB",career_stage="HP"),VLOOKUP($O51,TBHPI[],COLUMNS(TBHPI[[Strand]:[Selected]]),FALSE),FALSE)))),FALSE)</f>
        <v>1</v>
      </c>
      <c r="H51" s="156" t="b">
        <f>IFERROR(IF(AND(teacher_type="R",career_stage="P"),AND(COUNTIFS(RPS[Strand],$O51,RPS[QET],H$21)&gt;0,$G51),IF(AND(teacher_type="R",career_stage="HP"),AND(COUNTIFS(RHPS[Strand],$O51,RHPS[QET],H$21)&gt;0,$G51),IF(AND(teacher_type="TB",career_stage="P"),AND(COUNTIFS(TBPS[Strand],$O51,TBPS[QET],H$21)&gt;0,$G51),IF(AND(teacher_type="TB",career_stage="HP"),AND(COUNTIFS(TBHPS[Strand],$O51,TBHPS[QET],H$21)&gt;0,$G51),FALSE)))),FALSE)</f>
        <v>1</v>
      </c>
      <c r="I51" s="156" t="b">
        <f t="shared" si="11"/>
        <v>1</v>
      </c>
      <c r="J51" s="156" t="b">
        <f>IFERROR(IF(AND(teacher_type="R",career_stage="P"),AND(COUNTIFS(RPS[Strand],$O51,RPS[QET],J$21)&gt;0,$G51),IF(AND(teacher_type="R",career_stage="HP"),AND(COUNTIFS(RHPS[Strand],$O51,RHPS[QET],J$21)&gt;0,$G51),IF(AND(teacher_type="TB",career_stage="P"),AND(COUNTIFS(TBPS[Strand],$O51,TBPS[QET],J$21)&gt;0,$G51),IF(AND(teacher_type="TB",career_stage="HP"),AND(COUNTIFS(TBHPS[Strand],$O51,TBHPS[QET],J$21)&gt;0,$G51),FALSE)))),FALSE)</f>
        <v>0</v>
      </c>
      <c r="K51" s="156" t="b">
        <f>IFERROR(IF(AND(teacher_type="R",career_stage="P"),AND(COUNTIFS(RPS[Strand],$O51,RPS[QET],K$21)&gt;0,$G51),IF(AND(teacher_type="R",career_stage="HP"),AND(COUNTIFS(RHPS[Strand],$O51,RHPS[QET],K$21)&gt;0,$G51),IF(AND(teacher_type="TB",career_stage="P"),AND(COUNTIFS(TBPS[Strand],$O51,TBPS[QET],K$21)&gt;0,$G51),IF(AND(teacher_type="TB",career_stage="HP"),AND(COUNTIFS(TBHPS[Strand],$O51,TBHPS[QET],K$21)&gt;0,$G51),FALSE)))),FALSE)</f>
        <v>1</v>
      </c>
      <c r="L51" s="156" t="b">
        <f t="shared" si="12"/>
        <v>0</v>
      </c>
      <c r="M51" s="165">
        <f t="shared" si="13"/>
        <v>4</v>
      </c>
      <c r="N51" s="48">
        <f>IF($G51,COUNTIF($G$22:$G51,TRUE),"")</f>
        <v>12</v>
      </c>
      <c r="O51" s="48" t="str" cm="1">
        <f t="array" ref="O51">IFERROR(IF(AND(teacher_type="R",career_stage="P"),INDEX(RPI[Strand],$B51),IF(AND(teacher_type="R",career_stage="HP"),INDEX(RHPI[Strand],$B51),IF(AND(teacher_type="TB",career_stage="P"),INDEX(TBPI[Strand],$B51),IF(AND(teacher_type="TB",career_stage="HP"),INDEX(TBHPI[Strand],$B51),"")))),"")</f>
        <v>6.2.2</v>
      </c>
      <c r="P51" s="166" t="str">
        <f>$C$51</f>
        <v>NCOI</v>
      </c>
      <c r="Q51" s="173">
        <f>IFERROR(IF(AND(teacher_type="R",career_stage="P"),VLOOKUP(O51,RPI[],COLUMNS(RPI[[Strand]:[Weight]]),FALSE), IF(AND(teacher_type="R",career_stage="HP"),VLOOKUP(O51,RHPI[],COLUMNS(RHPI[[Strand]:[Weight]]),FALSE), IF(AND(teacher_type="TB",career_stage="P"),VLOOKUP(O51,TBPI[],COLUMNS(TBPI[[Strand]:[Weight]]),FALSE), IF(AND(teacher_type="TB",career_stage="HP"),VLOOKUP(O51,TBHPI[],COLUMNS(TBHPI[[Strand]:[Weight]]),FALSE),0)))),0)</f>
        <v>7.0000000000000007E-2</v>
      </c>
      <c r="R51" s="174">
        <f>COUNTIFS($D$22:D51,"COI",$G$22:G51,TRUE)</f>
        <v>9</v>
      </c>
      <c r="S51" s="484"/>
      <c r="T51" s="175" t="str">
        <f>IFERROR(IF(LOWER(TRIM(S$20))=LOWER(TRIM(data2!$U$35)),"",IF(AND($G51,$D51="COI",S$12,CZ51),IF(OR(LOWER(TRIM(S$20))=LOWER(TRIM(data2!$U$36)),ISBLANK(S51)),1,IF(career_stage="P",VLOOKUP(S51,P_COT_vlookup,2,FALSE),IF(career_stage="HP",VLOOKUP(S51,HP_COT_vlookup,2,FALSE),""))),"")),"")</f>
        <v/>
      </c>
      <c r="U51" s="471"/>
      <c r="V51" s="176" t="str">
        <f>IFERROR(IF(LOWER(TRIM(U$20))=LOWER(TRIM(data2!$U$35)),"",IF(AND($G51,$D51="COI",U$12,DB51),IF(OR(LOWER(TRIM(U$20))=LOWER(TRIM(data2!$U$36)),ISBLANK(U51)),1,IF(career_stage="P",VLOOKUP(U51,P_COT_vlookup,2,FALSE),IF(career_stage="HP",VLOOKUP(U51,HP_COT_vlookup,2,FALSE),""))),"")),"")</f>
        <v/>
      </c>
      <c r="W51" s="484"/>
      <c r="X51" s="175" t="str">
        <f>IFERROR(IF(LOWER(TRIM(W$20))=LOWER(TRIM(data2!$U$35)),"",IF(AND($G51,$D51="COI",W$12,DD51),IF(OR(LOWER(TRIM(W$20))=LOWER(TRIM(data2!$U$36)),ISBLANK(W51)),1,IF(career_stage="P",VLOOKUP(W51,P_COT_vlookup,2,FALSE),IF(career_stage="HP",VLOOKUP(W51,HP_COT_vlookup,2,FALSE),""))),"")),"")</f>
        <v/>
      </c>
      <c r="Y51" s="471"/>
      <c r="Z51" s="176" t="str">
        <f>IFERROR(IF(LOWER(TRIM(Y$20))=LOWER(TRIM(data2!$U$35)),"",IF(AND($G51,$D51="COI",Y$12,DF51),IF(OR(LOWER(TRIM(Y$20))=LOWER(TRIM(data2!$U$36)),ISBLANK(Y51)),1,IF(career_stage="P",VLOOKUP(Y51,P_COT_vlookup,2,FALSE),IF(career_stage="HP",VLOOKUP(Y51,HP_COT_vlookup,2,FALSE),""))),"")),"")</f>
        <v/>
      </c>
      <c r="AA51" s="171">
        <f t="shared" si="14"/>
        <v>0</v>
      </c>
      <c r="AB51" s="459">
        <v>4</v>
      </c>
      <c r="AC51" s="473"/>
      <c r="AD51" s="462">
        <v>5</v>
      </c>
      <c r="AE51" s="49">
        <f t="shared" si="2"/>
        <v>4.5</v>
      </c>
      <c r="AF51" s="49">
        <f t="shared" si="3"/>
        <v>0.315</v>
      </c>
      <c r="AG51" s="172" t="str">
        <f t="shared" si="4"/>
        <v>Outstanding</v>
      </c>
      <c r="AI51" s="196" t="b">
        <f t="shared" si="5"/>
        <v>1</v>
      </c>
      <c r="AJ51" s="154" t="b">
        <v>1</v>
      </c>
      <c r="AK51" s="154" t="b">
        <v>1</v>
      </c>
      <c r="AL51" s="196" t="b">
        <f t="shared" si="15"/>
        <v>1</v>
      </c>
      <c r="AM51" s="154" t="b">
        <v>1</v>
      </c>
      <c r="AN51" s="196" t="b">
        <f t="shared" si="15"/>
        <v>1</v>
      </c>
      <c r="AO51" s="154" t="b">
        <v>1</v>
      </c>
      <c r="AP51" s="196" t="b">
        <f t="shared" si="15"/>
        <v>1</v>
      </c>
      <c r="AQ51" s="154" t="b">
        <v>1</v>
      </c>
      <c r="AR51" s="196" t="b">
        <f t="shared" si="15"/>
        <v>1</v>
      </c>
      <c r="AS51" s="154" t="b">
        <v>1</v>
      </c>
      <c r="AT51" s="154" t="b">
        <v>1</v>
      </c>
      <c r="AU51" s="196" t="b">
        <f t="shared" si="6"/>
        <v>1</v>
      </c>
      <c r="AV51" s="196" t="b">
        <f t="shared" si="7"/>
        <v>1</v>
      </c>
      <c r="AW51" s="196" t="b">
        <f t="shared" si="8"/>
        <v>1</v>
      </c>
      <c r="AX51" s="47" t="b">
        <v>1</v>
      </c>
      <c r="AY51" s="47" t="b">
        <v>1</v>
      </c>
      <c r="AZ51" s="47" t="b">
        <v>1</v>
      </c>
      <c r="BF51" s="154" t="str">
        <f t="shared" si="9"/>
        <v>6.2.2</v>
      </c>
      <c r="BG51" s="196" t="b" cm="1">
        <f t="array" ref="BG51">IFERROR(IF(OR(LOWER(TRIM(S$20))=LOWER(TRIM(data2!$U$35)),LOWER(TRIM(S$20))=LOWER(TRIM(data2!$U$36))),FALSE,AND(S$12,IF(AND($G51,$D51="COI"),
IF(AND(teacher_type="R",career_stage="P"),VLOOKUP($BF51,RPI[],COLUMN(RPI[cot1]),FALSE),
IF(AND(teacher_type="R",career_stage="HP"),VLOOKUP($BF51,RHPI[],COLUMN(RHPI[cot1]),FALSE),
IF(AND(teacher_type="TB",career_stage="P"),VLOOKUP($BF51,TBPI[],COLUMN(TBPI[cot1]),FALSE),
IF(AND(teacher_type="TB",career_stage="HP"),VLOOKUP($BF51,TBHPI[],COLUMN(TBHPI[cot1]),FALSE),FALSE)))),
FALSE))),FALSE)</f>
        <v>0</v>
      </c>
      <c r="BH51" s="154" t="b">
        <v>0</v>
      </c>
      <c r="BI51" s="196" t="b" cm="1">
        <f t="array" ref="BI51">IFERROR(IF(OR(LOWER(TRIM(U$20))=LOWER(TRIM(data2!$U$35)),LOWER(TRIM(U$20))=LOWER(TRIM(data2!$U$36))),FALSE,AND(U$12,IF(AND($G51,$D51="COI"),
IF(AND(teacher_type="R",career_stage="P"),VLOOKUP($BF51,RPI[],COLUMN(RPI[cot2]),FALSE),
IF(AND(teacher_type="R",career_stage="HP"),VLOOKUP($BF51,RHPI[],COLUMN(RHPI[cot2]),FALSE),
IF(AND(teacher_type="TB",career_stage="P"),VLOOKUP($BF51,TBPI[],COLUMN(TBPI[cot2]),FALSE),
IF(AND(teacher_type="TB",career_stage="HP"),VLOOKUP($BF51,TBHPI[],COLUMN(TBHPI[cot2]),FALSE),FALSE)))),
FALSE))),FALSE)</f>
        <v>0</v>
      </c>
      <c r="BJ51" s="154" t="b">
        <v>0</v>
      </c>
      <c r="BK51" s="196" t="b" cm="1">
        <f t="array" ref="BK51">IFERROR(IF(OR(LOWER(TRIM(W$20))=LOWER(TRIM(data2!$U$35)),LOWER(TRIM(W$20))=LOWER(TRIM(data2!$U$36))),FALSE,AND(W$12,IF(AND($G51,$D51="COI"),
IF(AND(teacher_type="R",career_stage="P"),VLOOKUP($BF51,RPI[],COLUMN(RPI[cot3]),FALSE),
IF(AND(teacher_type="R",career_stage="HP"),VLOOKUP($BF51,RHPI[],COLUMN(RHPI[cot3]),FALSE),
IF(AND(teacher_type="TB",career_stage="P"),VLOOKUP($BF51,TBPI[],COLUMN(TBPI[cot3]),FALSE),
IF(AND(teacher_type="TB",career_stage="HP"),VLOOKUP($BF51,TBHPI[],COLUMN(TBHPI[cot3]),FALSE),FALSE)))),
FALSE))),FALSE)</f>
        <v>0</v>
      </c>
      <c r="BL51" s="154" t="b">
        <v>0</v>
      </c>
      <c r="BM51" s="196" t="b" cm="1">
        <f t="array" ref="BM51">IFERROR(IF(OR(LOWER(TRIM(Y$20))=LOWER(TRIM(data2!$U$35)),LOWER(TRIM(Y$20))=LOWER(TRIM(data2!$U$36))),FALSE,AND(Y$12,IF(AND($G51,$D51="COI"),
IF(AND(teacher_type="R",career_stage="P"),VLOOKUP($BF51,RPI[],COLUMN(RPI[cot4]),FALSE),
IF(AND(teacher_type="R",career_stage="HP"),VLOOKUP($BF51,RHPI[],COLUMN(RHPI[cot4]),FALSE),
IF(AND(teacher_type="TB",career_stage="P"),VLOOKUP($BF51,TBPI[],COLUMN(TBPI[cot4]),FALSE),
IF(AND(teacher_type="TB",career_stage="HP"),VLOOKUP($BF51,TBHPI[],COLUMN(TBHPI[cot4]),FALSE),FALSE)))),
FALSE))),FALSE)</f>
        <v>0</v>
      </c>
      <c r="BN51" s="154" t="b">
        <v>0</v>
      </c>
      <c r="BO51" s="150">
        <f t="shared" si="16"/>
        <v>0</v>
      </c>
      <c r="BP51" s="196" t="b">
        <f t="shared" si="17"/>
        <v>0</v>
      </c>
      <c r="BQ51" s="196" t="b">
        <f>IFERROR(IF(OR(NOT(CZ51),LOWER(TRIM(S$20))=LOWER(TRIM(data2!$U$35))),TRUE,IF(AND(CZ51,LOWER(TRIM(S$20))=LOWER(TRIM(data2!$U$36))),FALSE)),FALSE)</f>
        <v>1</v>
      </c>
      <c r="BR51" s="196" t="b">
        <f t="shared" si="18"/>
        <v>0</v>
      </c>
      <c r="BS51" s="196" t="b">
        <f>IFERROR(IF(OR(NOT(DB51),LOWER(TRIM(U$20))=LOWER(TRIM(data2!$U$35))),TRUE,IF(AND(DB51,LOWER(TRIM(U$20))=LOWER(TRIM(data2!$U$36))),FALSE)),FALSE)</f>
        <v>1</v>
      </c>
      <c r="BT51" s="196" t="b">
        <f t="shared" si="19"/>
        <v>0</v>
      </c>
      <c r="BU51" s="196" t="b">
        <f>IFERROR(IF(OR(NOT(DD51),LOWER(TRIM(W$20))=LOWER(TRIM(data2!$U$35))),TRUE,IF(AND(DD51,LOWER(TRIM(W$20))=LOWER(TRIM(data2!$U$36))),FALSE)),FALSE)</f>
        <v>1</v>
      </c>
      <c r="BV51" s="196" t="b">
        <f t="shared" si="20"/>
        <v>0</v>
      </c>
      <c r="BW51" s="196" t="b">
        <f>IFERROR(IF(OR(NOT(DF51),LOWER(TRIM(Y$20))=LOWER(TRIM(data2!$U$35))),TRUE,IF(AND(DF51,LOWER(TRIM(Y$20))=LOWER(TRIM(data2!$U$36))),FALSE)),FALSE)</f>
        <v>1</v>
      </c>
      <c r="BY51" s="154" t="str">
        <f t="shared" si="21"/>
        <v>6.2.2-Q-NCOI</v>
      </c>
      <c r="BZ51" s="154" t="str">
        <f t="shared" si="22"/>
        <v/>
      </c>
      <c r="CA51" s="154" t="str">
        <f t="shared" si="23"/>
        <v>6.2.2-T-NCOI</v>
      </c>
      <c r="CB51" s="154" t="str">
        <f t="shared" si="24"/>
        <v>CE51:CI51</v>
      </c>
      <c r="CC51" s="154" t="str">
        <f t="shared" si="25"/>
        <v>CK51:CO51</v>
      </c>
      <c r="CD51" s="154" t="str">
        <f t="shared" si="26"/>
        <v>CQ51:CU51</v>
      </c>
      <c r="CE51" s="359" cm="1">
        <f t="array" ref="CE51">IFERROR(IF($BY51&lt;&gt;"",
IF(AND(teacher_type="R",career_stage="P"),
    IF(INDEX(RPS[[Outstanding]:[Poor]],MATCH($BY51,RPS[[helper]:[helper]],0),CE$19)&lt;&gt;"",CE$20,""),
IF(AND(teacher_type="R",career_stage="HP"),
    IF(INDEX(RHPS[[Outstanding]:[Poor]],MATCH($BY51,RHPS[[helper]:[helper]],0),CE$19)&lt;&gt;"",CE$20,""),
IF(AND(teacher_type="TB",career_stage="P"),
    IF(INDEX(TBPS[[Outstanding]:[Poor]],MATCH($BY51,TBPS[[helper]:[helper]],0),CE$19)&lt;&gt;"",CE$20,""),
IF(AND(teacher_type="TB",career_stage="HP"),
    IF(INDEX(TBHPS[[Outstanding]:[Poor]],MATCH($BY51,TBHPS[[helper]:[helper]],0),CE$19)&lt;&gt;"",CE$20,""),
CE$20)))),
CE$20),CE$20)</f>
        <v>5</v>
      </c>
      <c r="CF51" s="359" cm="1">
        <f t="array" ref="CF51">IFERROR(IF($BY51&lt;&gt;"",
IF(AND(teacher_type="R",career_stage="P"),
    IF(INDEX(RPS[[Outstanding]:[Poor]],MATCH($BY51,RPS[[helper]:[helper]],0),CF$19)&lt;&gt;"",CF$20,""),
IF(AND(teacher_type="R",career_stage="HP"),
    IF(INDEX(RHPS[[Outstanding]:[Poor]],MATCH($BY51,RHPS[[helper]:[helper]],0),CF$19)&lt;&gt;"",CF$20,""),
IF(AND(teacher_type="TB",career_stage="P"),
    IF(INDEX(TBPS[[Outstanding]:[Poor]],MATCH($BY51,TBPS[[helper]:[helper]],0),CF$19)&lt;&gt;"",CF$20,""),
IF(AND(teacher_type="TB",career_stage="HP"),
    IF(INDEX(TBHPS[[Outstanding]:[Poor]],MATCH($BY51,TBHPS[[helper]:[helper]],0),CF$19)&lt;&gt;"",CF$20,""),
CF$20)))),
CF$20),CF$20)</f>
        <v>4</v>
      </c>
      <c r="CG51" s="359" cm="1">
        <f t="array" ref="CG51">IFERROR(IF($BY51&lt;&gt;"",
IF(AND(teacher_type="R",career_stage="P"),
    IF(INDEX(RPS[[Outstanding]:[Poor]],MATCH($BY51,RPS[[helper]:[helper]],0),CG$19)&lt;&gt;"",CG$20,""),
IF(AND(teacher_type="R",career_stage="HP"),
    IF(INDEX(RHPS[[Outstanding]:[Poor]],MATCH($BY51,RHPS[[helper]:[helper]],0),CG$19)&lt;&gt;"",CG$20,""),
IF(AND(teacher_type="TB",career_stage="P"),
    IF(INDEX(TBPS[[Outstanding]:[Poor]],MATCH($BY51,TBPS[[helper]:[helper]],0),CG$19)&lt;&gt;"",CG$20,""),
IF(AND(teacher_type="TB",career_stage="HP"),
    IF(INDEX(TBHPS[[Outstanding]:[Poor]],MATCH($BY51,TBHPS[[helper]:[helper]],0),CG$19)&lt;&gt;"",CG$20,""),
CG$20)))),
CG$20),CG$20)</f>
        <v>3</v>
      </c>
      <c r="CH51" s="359" cm="1">
        <f t="array" ref="CH51">IFERROR(IF($BY51&lt;&gt;"",
IF(AND(teacher_type="R",career_stage="P"),
    IF(INDEX(RPS[[Outstanding]:[Poor]],MATCH($BY51,RPS[[helper]:[helper]],0),CH$19)&lt;&gt;"",CH$20,""),
IF(AND(teacher_type="R",career_stage="HP"),
    IF(INDEX(RHPS[[Outstanding]:[Poor]],MATCH($BY51,RHPS[[helper]:[helper]],0),CH$19)&lt;&gt;"",CH$20,""),
IF(AND(teacher_type="TB",career_stage="P"),
    IF(INDEX(TBPS[[Outstanding]:[Poor]],MATCH($BY51,TBPS[[helper]:[helper]],0),CH$19)&lt;&gt;"",CH$20,""),
IF(AND(teacher_type="TB",career_stage="HP"),
    IF(INDEX(TBHPS[[Outstanding]:[Poor]],MATCH($BY51,TBHPS[[helper]:[helper]],0),CH$19)&lt;&gt;"",CH$20,""),
CH$20)))),
CH$20),CH$20)</f>
        <v>2</v>
      </c>
      <c r="CI51" s="359" cm="1">
        <f t="array" ref="CI51">IFERROR(IF($BY51&lt;&gt;"",
IF(AND(teacher_type="R",career_stage="P"),
    IF(INDEX(RPS[[Outstanding]:[Poor]],MATCH($BY51,RPS[[helper]:[helper]],0),CI$19)&lt;&gt;"",CI$20,""),
IF(AND(teacher_type="R",career_stage="HP"),
    IF(INDEX(RHPS[[Outstanding]:[Poor]],MATCH($BY51,RHPS[[helper]:[helper]],0),CI$19)&lt;&gt;"",CI$20,""),
IF(AND(teacher_type="TB",career_stage="P"),
    IF(INDEX(TBPS[[Outstanding]:[Poor]],MATCH($BY51,TBPS[[helper]:[helper]],0),CI$19)&lt;&gt;"",CI$20,""),
IF(AND(teacher_type="TB",career_stage="HP"),
    IF(INDEX(TBHPS[[Outstanding]:[Poor]],MATCH($BY51,TBHPS[[helper]:[helper]],0),CI$19)&lt;&gt;"",CI$20,""),
CI$20)))),
CI$20),CI$20)</f>
        <v>1</v>
      </c>
      <c r="CJ51" s="360">
        <f t="shared" si="27"/>
        <v>5</v>
      </c>
      <c r="CK51" s="359" cm="1">
        <f t="array" ref="CK51">IFERROR(IF($BZ51&lt;&gt;"",
IF(AND(teacher_type="R",career_stage="P"),
    IF(INDEX(RPS[[Outstanding]:[Poor]],MATCH($BZ51,RPS[[helper]:[helper]],0),CK$19)&lt;&gt;"",CK$20,""),
IF(AND(teacher_type="R",career_stage="HP"),
    IF(INDEX(RHPS[[Outstanding]:[Poor]],MATCH($BZ51,RHPS[[helper]:[helper]],0),CK$19)&lt;&gt;"",CK$20,""),
IF(AND(teacher_type="TB",career_stage="P"),
    IF(INDEX(TBPS[[Outstanding]:[Poor]],MATCH($BZ51,TBPS[[helper]:[helper]],0),CK$19)&lt;&gt;"",CK$20,""),
IF(AND(teacher_type="TB",career_stage="HP"),
    IF(INDEX(TBHPS[[Outstanding]:[Poor]],MATCH($BZ51,TBHPS[[helper]:[helper]],0),CK$19)&lt;&gt;"",CK$20,""),
CK$20)))),
CK$20),CK$20)</f>
        <v>5</v>
      </c>
      <c r="CL51" s="359" cm="1">
        <f t="array" ref="CL51">IFERROR(IF($BZ51&lt;&gt;"",
IF(AND(teacher_type="R",career_stage="P"),
    IF(INDEX(RPS[[Outstanding]:[Poor]],MATCH($BZ51,RPS[[helper]:[helper]],0),CL$19)&lt;&gt;"",CL$20,""),
IF(AND(teacher_type="R",career_stage="HP"),
    IF(INDEX(RHPS[[Outstanding]:[Poor]],MATCH($BZ51,RHPS[[helper]:[helper]],0),CL$19)&lt;&gt;"",CL$20,""),
IF(AND(teacher_type="TB",career_stage="P"),
    IF(INDEX(TBPS[[Outstanding]:[Poor]],MATCH($BZ51,TBPS[[helper]:[helper]],0),CL$19)&lt;&gt;"",CL$20,""),
IF(AND(teacher_type="TB",career_stage="HP"),
    IF(INDEX(TBHPS[[Outstanding]:[Poor]],MATCH($BZ51,TBHPS[[helper]:[helper]],0),CL$19)&lt;&gt;"",CL$20,""),
CL$20)))),
CL$20),CL$20)</f>
        <v>4</v>
      </c>
      <c r="CM51" s="359" cm="1">
        <f t="array" ref="CM51">IFERROR(IF($BZ51&lt;&gt;"",
IF(AND(teacher_type="R",career_stage="P"),
    IF(INDEX(RPS[[Outstanding]:[Poor]],MATCH($BZ51,RPS[[helper]:[helper]],0),CM$19)&lt;&gt;"",CM$20,""),
IF(AND(teacher_type="R",career_stage="HP"),
    IF(INDEX(RHPS[[Outstanding]:[Poor]],MATCH($BZ51,RHPS[[helper]:[helper]],0),CM$19)&lt;&gt;"",CM$20,""),
IF(AND(teacher_type="TB",career_stage="P"),
    IF(INDEX(TBPS[[Outstanding]:[Poor]],MATCH($BZ51,TBPS[[helper]:[helper]],0),CM$19)&lt;&gt;"",CM$20,""),
IF(AND(teacher_type="TB",career_stage="HP"),
    IF(INDEX(TBHPS[[Outstanding]:[Poor]],MATCH($BZ51,TBHPS[[helper]:[helper]],0),CM$19)&lt;&gt;"",CM$20,""),
CM$20)))),
CM$20),CM$20)</f>
        <v>3</v>
      </c>
      <c r="CN51" s="359" cm="1">
        <f t="array" ref="CN51">IFERROR(IF($BZ51&lt;&gt;"",
IF(AND(teacher_type="R",career_stage="P"),
    IF(INDEX(RPS[[Outstanding]:[Poor]],MATCH($BZ51,RPS[[helper]:[helper]],0),CN$19)&lt;&gt;"",CN$20,""),
IF(AND(teacher_type="R",career_stage="HP"),
    IF(INDEX(RHPS[[Outstanding]:[Poor]],MATCH($BZ51,RHPS[[helper]:[helper]],0),CN$19)&lt;&gt;"",CN$20,""),
IF(AND(teacher_type="TB",career_stage="P"),
    IF(INDEX(TBPS[[Outstanding]:[Poor]],MATCH($BZ51,TBPS[[helper]:[helper]],0),CN$19)&lt;&gt;"",CN$20,""),
IF(AND(teacher_type="TB",career_stage="HP"),
    IF(INDEX(TBHPS[[Outstanding]:[Poor]],MATCH($BZ51,TBHPS[[helper]:[helper]],0),CN$19)&lt;&gt;"",CN$20,""),
CN$20)))),
CN$20),CN$20)</f>
        <v>2</v>
      </c>
      <c r="CO51" s="359" cm="1">
        <f t="array" ref="CO51">IFERROR(IF($BZ51&lt;&gt;"",
IF(AND(teacher_type="R",career_stage="P"),
    IF(INDEX(RPS[[Outstanding]:[Poor]],MATCH($BZ51,RPS[[helper]:[helper]],0),CO$19)&lt;&gt;"",CO$20,""),
IF(AND(teacher_type="R",career_stage="HP"),
    IF(INDEX(RHPS[[Outstanding]:[Poor]],MATCH($BZ51,RHPS[[helper]:[helper]],0),CO$19)&lt;&gt;"",CO$20,""),
IF(AND(teacher_type="TB",career_stage="P"),
    IF(INDEX(TBPS[[Outstanding]:[Poor]],MATCH($BZ51,TBPS[[helper]:[helper]],0),CO$19)&lt;&gt;"",CO$20,""),
IF(AND(teacher_type="TB",career_stage="HP"),
    IF(INDEX(TBHPS[[Outstanding]:[Poor]],MATCH($BZ51,TBHPS[[helper]:[helper]],0),CO$19)&lt;&gt;"",CO$20,""),
CO$20)))),
CO$20),CO$20)</f>
        <v>1</v>
      </c>
      <c r="CP51" s="360">
        <f t="shared" si="28"/>
        <v>5</v>
      </c>
      <c r="CQ51" s="359" cm="1">
        <f t="array" ref="CQ51">IFERROR(IF($CA51&lt;&gt;"",
IF(AND(teacher_type="R",career_stage="P"),
    IF(INDEX(RPS[[Outstanding]:[Poor]],MATCH($CA51,RPS[[helper]:[helper]],0),CQ$19)&lt;&gt;"",CQ$20,""),
IF(AND(teacher_type="R",career_stage="HP"),
    IF(INDEX(RHPS[[Outstanding]:[Poor]],MATCH($CA51,RHPS[[helper]:[helper]],0),CQ$19)&lt;&gt;"",CQ$20,""),
IF(AND(teacher_type="TB",career_stage="P"),
    IF(INDEX(TBPS[[Outstanding]:[Poor]],MATCH($CA51,TBPS[[helper]:[helper]],0),CQ$19)&lt;&gt;"",CQ$20,""),
IF(AND(teacher_type="TB",career_stage="HP"),
    IF(INDEX(TBHPS[[Outstanding]:[Poor]],MATCH($CA51,TBHPS[[helper]:[helper]],0),CQ$19)&lt;&gt;"",CQ$20,""),
CQ$20)))),
CQ$20),CQ$20)</f>
        <v>5</v>
      </c>
      <c r="CR51" s="359" cm="1">
        <f t="array" ref="CR51">IFERROR(IF($CA51&lt;&gt;"",
IF(AND(teacher_type="R",career_stage="P"),
    IF(INDEX(RPS[[Outstanding]:[Poor]],MATCH($CA51,RPS[[helper]:[helper]],0),CR$19)&lt;&gt;"",CR$20,""),
IF(AND(teacher_type="R",career_stage="HP"),
    IF(INDEX(RHPS[[Outstanding]:[Poor]],MATCH($CA51,RHPS[[helper]:[helper]],0),CR$19)&lt;&gt;"",CR$20,""),
IF(AND(teacher_type="TB",career_stage="P"),
    IF(INDEX(TBPS[[Outstanding]:[Poor]],MATCH($CA51,TBPS[[helper]:[helper]],0),CR$19)&lt;&gt;"",CR$20,""),
IF(AND(teacher_type="TB",career_stage="HP"),
    IF(INDEX(TBHPS[[Outstanding]:[Poor]],MATCH($CA51,TBHPS[[helper]:[helper]],0),CR$19)&lt;&gt;"",CR$20,""),
CR$20)))),
CR$20),CR$20)</f>
        <v>4</v>
      </c>
      <c r="CS51" s="359" cm="1">
        <f t="array" ref="CS51">IFERROR(IF($CA51&lt;&gt;"",
IF(AND(teacher_type="R",career_stage="P"),
    IF(INDEX(RPS[[Outstanding]:[Poor]],MATCH($CA51,RPS[[helper]:[helper]],0),CS$19)&lt;&gt;"",CS$20,""),
IF(AND(teacher_type="R",career_stage="HP"),
    IF(INDEX(RHPS[[Outstanding]:[Poor]],MATCH($CA51,RHPS[[helper]:[helper]],0),CS$19)&lt;&gt;"",CS$20,""),
IF(AND(teacher_type="TB",career_stage="P"),
    IF(INDEX(TBPS[[Outstanding]:[Poor]],MATCH($CA51,TBPS[[helper]:[helper]],0),CS$19)&lt;&gt;"",CS$20,""),
IF(AND(teacher_type="TB",career_stage="HP"),
    IF(INDEX(TBHPS[[Outstanding]:[Poor]],MATCH($CA51,TBHPS[[helper]:[helper]],0),CS$19)&lt;&gt;"",CS$20,""),
CS$20)))),
CS$20),CS$20)</f>
        <v>3</v>
      </c>
      <c r="CT51" s="359" cm="1">
        <f t="array" ref="CT51">IFERROR(IF($CA51&lt;&gt;"",
IF(AND(teacher_type="R",career_stage="P"),
    IF(INDEX(RPS[[Outstanding]:[Poor]],MATCH($CA51,RPS[[helper]:[helper]],0),CT$19)&lt;&gt;"",CT$20,""),
IF(AND(teacher_type="R",career_stage="HP"),
    IF(INDEX(RHPS[[Outstanding]:[Poor]],MATCH($CA51,RHPS[[helper]:[helper]],0),CT$19)&lt;&gt;"",CT$20,""),
IF(AND(teacher_type="TB",career_stage="P"),
    IF(INDEX(TBPS[[Outstanding]:[Poor]],MATCH($CA51,TBPS[[helper]:[helper]],0),CT$19)&lt;&gt;"",CT$20,""),
IF(AND(teacher_type="TB",career_stage="HP"),
    IF(INDEX(TBHPS[[Outstanding]:[Poor]],MATCH($CA51,TBHPS[[helper]:[helper]],0),CT$19)&lt;&gt;"",CT$20,""),
CT$20)))),
CT$20),CT$20)</f>
        <v>2</v>
      </c>
      <c r="CU51" s="359" cm="1">
        <f t="array" ref="CU51">IFERROR(IF($CA51&lt;&gt;"",
IF(AND(teacher_type="R",career_stage="P"),
    IF(INDEX(RPS[[Outstanding]:[Poor]],MATCH($CA51,RPS[[helper]:[helper]],0),CU$19)&lt;&gt;"",CU$20,""),
IF(AND(teacher_type="R",career_stage="HP"),
    IF(INDEX(RHPS[[Outstanding]:[Poor]],MATCH($CA51,RHPS[[helper]:[helper]],0),CU$19)&lt;&gt;"",CU$20,""),
IF(AND(teacher_type="TB",career_stage="P"),
    IF(INDEX(TBPS[[Outstanding]:[Poor]],MATCH($CA51,TBPS[[helper]:[helper]],0),CU$19)&lt;&gt;"",CU$20,""),
IF(AND(teacher_type="TB",career_stage="HP"),
    IF(INDEX(TBHPS[[Outstanding]:[Poor]],MATCH($CA51,TBHPS[[helper]:[helper]],0),CU$19)&lt;&gt;"",CU$20,""),
CU$20)))),
CU$20),CU$20)</f>
        <v>1</v>
      </c>
      <c r="CV51" s="360">
        <f t="shared" si="29"/>
        <v>5</v>
      </c>
      <c r="CY51" s="443" t="b" cm="1">
        <f t="array" ref="CY51">IFERROR(AND(S$12,IF(AND($G51,$D51="COI"),
IF(AND(teacher_type="R",career_stage="P"),VLOOKUP($BF51,RPI[],COLUMN(RPI[cot1]),FALSE),
IF(AND(teacher_type="R",career_stage="HP"),VLOOKUP($BF51,RHPI[],COLUMN(RHPI[cot1]),FALSE),
IF(AND(teacher_type="TB",career_stage="P"),VLOOKUP($BF51,TBPI[],COLUMN(TBPI[cot1]),FALSE),
IF(AND(teacher_type="TB",career_stage="HP"),VLOOKUP($BF51,TBHPI[],COLUMN(TBHPI[cot1]),FALSE),FALSE)))),
FALSE)),FALSE)</f>
        <v>0</v>
      </c>
      <c r="CZ51" s="443" t="b">
        <f t="shared" si="30"/>
        <v>0</v>
      </c>
      <c r="DA51" s="443" t="b" cm="1">
        <f t="array" ref="DA51">IFERROR(AND(U$12,IF(AND($G51,$D51="COI"),
IF(AND(teacher_type="R",career_stage="P"),VLOOKUP($BF51,RPI[],COLUMN(RPI[cot2]),FALSE),
IF(AND(teacher_type="R",career_stage="HP"),VLOOKUP($BF51,RHPI[],COLUMN(RHPI[cot2]),FALSE),
IF(AND(teacher_type="TB",career_stage="P"),VLOOKUP($BF51,TBPI[],COLUMN(TBPI[cot2]),FALSE),
IF(AND(teacher_type="TB",career_stage="HP"),VLOOKUP($BF51,TBHPI[],COLUMN(TBHPI[cot2]),FALSE),FALSE)))),
FALSE)),FALSE)</f>
        <v>0</v>
      </c>
      <c r="DB51" s="443" t="b">
        <f t="shared" si="31"/>
        <v>0</v>
      </c>
      <c r="DC51" s="443" t="b" cm="1">
        <f t="array" ref="DC51">IFERROR(AND(W$12,IF(AND($G51,$D51="COI"),
IF(AND(teacher_type="R",career_stage="P"),VLOOKUP($BF51,RPI[],COLUMN(RPI[cot3]),FALSE),
IF(AND(teacher_type="R",career_stage="HP"),VLOOKUP($BF51,RHPI[],COLUMN(RHPI[cot3]),FALSE),
IF(AND(teacher_type="TB",career_stage="P"),VLOOKUP($BF51,TBPI[],COLUMN(TBPI[cot3]),FALSE),
IF(AND(teacher_type="TB",career_stage="HP"),VLOOKUP($BF51,TBHPI[],COLUMN(TBHPI[cot3]),FALSE),FALSE)))),
FALSE)),FALSE)</f>
        <v>0</v>
      </c>
      <c r="DD51" s="443" t="b">
        <f t="shared" si="32"/>
        <v>0</v>
      </c>
      <c r="DE51" s="443" t="b" cm="1">
        <f t="array" ref="DE51">IFERROR(AND(Y$12,IF(AND($G51,$D51="COI"),
IF(AND(teacher_type="R",career_stage="P"),VLOOKUP($BF51,RPI[],COLUMN(RPI[cot4]),FALSE),
IF(AND(teacher_type="R",career_stage="HP"),VLOOKUP($BF51,RHPI[],COLUMN(RHPI[cot4]),FALSE),
IF(AND(teacher_type="TB",career_stage="P"),VLOOKUP($BF51,TBPI[],COLUMN(TBPI[cot4]),FALSE),
IF(AND(teacher_type="TB",career_stage="HP"),VLOOKUP($BF51,TBHPI[],COLUMN(TBHPI[cot4]),FALSE),FALSE)))),
FALSE)),FALSE)</f>
        <v>0</v>
      </c>
      <c r="DF51" s="443" t="b">
        <f t="shared" si="33"/>
        <v>0</v>
      </c>
      <c r="DG51" s="150">
        <f t="shared" si="34"/>
        <v>0</v>
      </c>
      <c r="DH51" s="154">
        <f>IF(AND(CY51,LOWER(TRIM(S$20))=LOWER(TRIM(data2!$U$35))),1,0) +
IF(AND(DA51,LOWER(TRIM(U$20))=LOWER(TRIM(data2!$U$35))),1,0) +
IF(AND(DC51,LOWER(TRIM(W$20))=LOWER(TRIM(data2!$U$35))),1,0) +
IF(AND(DE51,LOWER(TRIM(Y$20))=LOWER(TRIM(data2!$U$35))),1,0)</f>
        <v>0</v>
      </c>
      <c r="DJ51" s="154">
        <f t="shared" si="35"/>
        <v>0</v>
      </c>
    </row>
    <row r="52" spans="1:114" s="154" customFormat="1" ht="24.95" hidden="1" customHeight="1" x14ac:dyDescent="0.25">
      <c r="A52" s="156"/>
      <c r="B52" s="154">
        <v>31</v>
      </c>
      <c r="C52" s="150" t="str">
        <f>IFERROR(IF(AND(teacher_type="R",career_stage="P"),VLOOKUP(O52,RPI[],COLUMNS(RPI[[Strand]:[admin_selected_coi_ncoi]]),FALSE),IF(AND(teacher_type="R",career_stage="HP"),VLOOKUP(O52,RHPI[],COLUMNS(RHPI[[Strand]:[admin_selected_coi_ncoi]]),FALSE),IF(AND(teacher_type="TB",career_stage="P"),VLOOKUP(O52,TBPI[],COLUMNS(TBPI[[Strand]:[admin_selected_coi_ncoi]]),FALSE),IF(AND(teacher_type="TB",career_stage="HP"),VLOOKUP(O52,TBHPI[],COLUMNS(TBHPI[[Strand]:[admin_selected_coi_ncoi]]),FALSE),"NCOI")))),"NCOI")</f>
        <v>NCOI</v>
      </c>
      <c r="D52" s="150" t="str">
        <f t="shared" si="10"/>
        <v/>
      </c>
      <c r="E52" s="150">
        <f>IFERROR(IF(AND(teacher_type="R",career_stage="P"),VLOOKUP($O52,RPI[[Strand]:[Domain]],COLUMNS(RPI[[Strand]:[Domain]]),FALSE),IF(AND(teacher_type="R",career_stage="HP"),VLOOKUP($O52,RHPI[[Strand]:[Domain]],COLUMNS(RHPI[[Strand]:[Domain]]),FALSE),IF(AND(teacher_type="TB",career_stage="P"),VLOOKUP($O52,TBPI[[Strand]:[Domain]],COLUMNS(TBPI[[Strand]:[Domain]]),FALSE),IF(AND(teacher_type="TB",career_stage="HP"),VLOOKUP($O52,TBHPI[[Strand]:[Domain]],COLUMNS(TBHPI[[Strand]:[Domain]]),FALSE),"")))),"")</f>
        <v>6</v>
      </c>
      <c r="F52" s="155" t="b">
        <f>AND(COUNTIFS($E$22:$E52,E52,$G$22:$G52,TRUE)=1,$G52)</f>
        <v>0</v>
      </c>
      <c r="G52" s="212" t="b">
        <f>IFERROR(IF(AND(teacher_type="R",career_stage="P"),VLOOKUP($O52,RPI[],COLUMNS(RPI[[Strand]:[Selected]]),FALSE),IF(AND(teacher_type="R",career_stage="HP"),VLOOKUP($O52,RHPI[],COLUMNS(RHPI[[Strand]:[Selected]]),FALSE),IF(AND(teacher_type="TB",career_stage="P"),VLOOKUP($O52,TBPI[],COLUMNS(TBPI[[Strand]:[Selected]]),FALSE),IF(AND(teacher_type="TB",career_stage="HP"),VLOOKUP($O52,TBHPI[],COLUMNS(TBHPI[[Strand]:[Selected]]),FALSE),FALSE)))),FALSE)</f>
        <v>0</v>
      </c>
      <c r="H52" s="156" t="b">
        <f>IFERROR(IF(AND(teacher_type="R",career_stage="P"),AND(COUNTIFS(RPS[Strand],$O52,RPS[QET],H$21)&gt;0,$G52),IF(AND(teacher_type="R",career_stage="HP"),AND(COUNTIFS(RHPS[Strand],$O52,RHPS[QET],H$21)&gt;0,$G52),IF(AND(teacher_type="TB",career_stage="P"),AND(COUNTIFS(TBPS[Strand],$O52,TBPS[QET],H$21)&gt;0,$G52),IF(AND(teacher_type="TB",career_stage="HP"),AND(COUNTIFS(TBHPS[Strand],$O52,TBHPS[QET],H$21)&gt;0,$G52),FALSE)))),FALSE)</f>
        <v>0</v>
      </c>
      <c r="I52" s="156" t="b">
        <f t="shared" si="11"/>
        <v>0</v>
      </c>
      <c r="J52" s="156" t="b">
        <f>IFERROR(IF(AND(teacher_type="R",career_stage="P"),AND(COUNTIFS(RPS[Strand],$O52,RPS[QET],J$21)&gt;0,$G52),IF(AND(teacher_type="R",career_stage="HP"),AND(COUNTIFS(RHPS[Strand],$O52,RHPS[QET],J$21)&gt;0,$G52),IF(AND(teacher_type="TB",career_stage="P"),AND(COUNTIFS(TBPS[Strand],$O52,TBPS[QET],J$21)&gt;0,$G52),IF(AND(teacher_type="TB",career_stage="HP"),AND(COUNTIFS(TBHPS[Strand],$O52,TBHPS[QET],J$21)&gt;0,$G52),FALSE)))),FALSE)</f>
        <v>0</v>
      </c>
      <c r="K52" s="156" t="b">
        <f>IFERROR(IF(AND(teacher_type="R",career_stage="P"),AND(COUNTIFS(RPS[Strand],$O52,RPS[QET],K$21)&gt;0,$G52),IF(AND(teacher_type="R",career_stage="HP"),AND(COUNTIFS(RHPS[Strand],$O52,RHPS[QET],K$21)&gt;0,$G52),IF(AND(teacher_type="TB",career_stage="P"),AND(COUNTIFS(TBPS[Strand],$O52,TBPS[QET],K$21)&gt;0,$G52),IF(AND(teacher_type="TB",career_stage="HP"),AND(COUNTIFS(TBHPS[Strand],$O52,TBHPS[QET],K$21)&gt;0,$G52),FALSE)))),FALSE)</f>
        <v>0</v>
      </c>
      <c r="L52" s="156" t="b">
        <f t="shared" si="12"/>
        <v>0</v>
      </c>
      <c r="M52" s="165" t="str">
        <f t="shared" si="13"/>
        <v/>
      </c>
      <c r="N52" s="48" t="str">
        <f>IF($G52,COUNTIF($G$22:$G52,TRUE),"")</f>
        <v/>
      </c>
      <c r="O52" s="48" t="str" cm="1">
        <f t="array" ref="O52">IFERROR(IF(AND(teacher_type="R",career_stage="P"),INDEX(RPI[Strand],$B52),IF(AND(teacher_type="R",career_stage="HP"),INDEX(RHPI[Strand],$B52),IF(AND(teacher_type="TB",career_stage="P"),INDEX(TBPI[Strand],$B52),IF(AND(teacher_type="TB",career_stage="HP"),INDEX(TBHPI[Strand],$B52),"")))),"")</f>
        <v>6.3.2</v>
      </c>
      <c r="P52" s="166" t="str">
        <f>$C$52</f>
        <v>NCOI</v>
      </c>
      <c r="Q52" s="173">
        <f>IFERROR(IF(AND(teacher_type="R",career_stage="P"),VLOOKUP(O52,RPI[],COLUMNS(RPI[[Strand]:[Weight]]),FALSE), IF(AND(teacher_type="R",career_stage="HP"),VLOOKUP(O52,RHPI[],COLUMNS(RHPI[[Strand]:[Weight]]),FALSE), IF(AND(teacher_type="TB",career_stage="P"),VLOOKUP(O52,TBPI[],COLUMNS(TBPI[[Strand]:[Weight]]),FALSE), IF(AND(teacher_type="TB",career_stage="HP"),VLOOKUP(O52,TBHPI[],COLUMNS(TBHPI[[Strand]:[Weight]]),FALSE),0)))),0)</f>
        <v>0</v>
      </c>
      <c r="R52" s="174">
        <f>COUNTIFS($D$22:D52,"COI",$G$22:G52,TRUE)</f>
        <v>9</v>
      </c>
      <c r="S52" s="484"/>
      <c r="T52" s="175" t="str">
        <f>IFERROR(IF(LOWER(TRIM(S$20))=LOWER(TRIM(data2!$U$35)),"",IF(AND($G52,$D52="COI",S$12,CZ52),IF(OR(LOWER(TRIM(S$20))=LOWER(TRIM(data2!$U$36)),ISBLANK(S52)),1,IF(career_stage="P",VLOOKUP(S52,P_COT_vlookup,2,FALSE),IF(career_stage="HP",VLOOKUP(S52,HP_COT_vlookup,2,FALSE),""))),"")),"")</f>
        <v/>
      </c>
      <c r="U52" s="471"/>
      <c r="V52" s="176" t="str">
        <f>IFERROR(IF(LOWER(TRIM(U$20))=LOWER(TRIM(data2!$U$35)),"",IF(AND($G52,$D52="COI",U$12,DB52),IF(OR(LOWER(TRIM(U$20))=LOWER(TRIM(data2!$U$36)),ISBLANK(U52)),1,IF(career_stage="P",VLOOKUP(U52,P_COT_vlookup,2,FALSE),IF(career_stage="HP",VLOOKUP(U52,HP_COT_vlookup,2,FALSE),""))),"")),"")</f>
        <v/>
      </c>
      <c r="W52" s="484"/>
      <c r="X52" s="175" t="str">
        <f>IFERROR(IF(LOWER(TRIM(W$20))=LOWER(TRIM(data2!$U$35)),"",IF(AND($G52,$D52="COI",W$12,DD52),IF(OR(LOWER(TRIM(W$20))=LOWER(TRIM(data2!$U$36)),ISBLANK(W52)),1,IF(career_stage="P",VLOOKUP(W52,P_COT_vlookup,2,FALSE),IF(career_stage="HP",VLOOKUP(W52,HP_COT_vlookup,2,FALSE),""))),"")),"")</f>
        <v/>
      </c>
      <c r="Y52" s="471"/>
      <c r="Z52" s="176" t="str">
        <f>IFERROR(IF(LOWER(TRIM(Y$20))=LOWER(TRIM(data2!$U$35)),"",IF(AND($G52,$D52="COI",Y$12,DF52),IF(OR(LOWER(TRIM(Y$20))=LOWER(TRIM(data2!$U$36)),ISBLANK(Y52)),1,IF(career_stage="P",VLOOKUP(Y52,P_COT_vlookup,2,FALSE),IF(career_stage="HP",VLOOKUP(Y52,HP_COT_vlookup,2,FALSE),""))),"")),"")</f>
        <v/>
      </c>
      <c r="AA52" s="171">
        <f t="shared" si="14"/>
        <v>0</v>
      </c>
      <c r="AB52" s="471"/>
      <c r="AC52" s="473"/>
      <c r="AD52" s="473"/>
      <c r="AE52" s="49">
        <f t="shared" si="2"/>
        <v>0</v>
      </c>
      <c r="AF52" s="49">
        <f t="shared" si="3"/>
        <v>0</v>
      </c>
      <c r="AG52" s="172" t="str">
        <f t="shared" si="4"/>
        <v>Poor</v>
      </c>
      <c r="AI52" s="196" t="b">
        <f t="shared" si="5"/>
        <v>1</v>
      </c>
      <c r="AJ52" s="154" t="b">
        <v>1</v>
      </c>
      <c r="AK52" s="154" t="b">
        <v>1</v>
      </c>
      <c r="AL52" s="196" t="b">
        <f t="shared" si="15"/>
        <v>1</v>
      </c>
      <c r="AM52" s="154" t="b">
        <v>1</v>
      </c>
      <c r="AN52" s="196" t="b">
        <f t="shared" si="15"/>
        <v>1</v>
      </c>
      <c r="AO52" s="154" t="b">
        <v>1</v>
      </c>
      <c r="AP52" s="196" t="b">
        <f t="shared" si="15"/>
        <v>1</v>
      </c>
      <c r="AQ52" s="154" t="b">
        <v>1</v>
      </c>
      <c r="AR52" s="196" t="b">
        <f t="shared" si="15"/>
        <v>1</v>
      </c>
      <c r="AS52" s="154" t="b">
        <v>1</v>
      </c>
      <c r="AT52" s="154" t="b">
        <v>1</v>
      </c>
      <c r="AU52" s="196" t="b">
        <f t="shared" si="6"/>
        <v>1</v>
      </c>
      <c r="AV52" s="196" t="b">
        <f t="shared" si="7"/>
        <v>1</v>
      </c>
      <c r="AW52" s="196" t="b">
        <f t="shared" si="8"/>
        <v>1</v>
      </c>
      <c r="AX52" s="47" t="b">
        <v>1</v>
      </c>
      <c r="AY52" s="47" t="b">
        <v>1</v>
      </c>
      <c r="AZ52" s="47" t="b">
        <v>1</v>
      </c>
      <c r="BF52" s="154" t="str">
        <f t="shared" si="9"/>
        <v>6.3.2</v>
      </c>
      <c r="BG52" s="196" t="b" cm="1">
        <f t="array" ref="BG52">IFERROR(IF(OR(LOWER(TRIM(S$20))=LOWER(TRIM(data2!$U$35)),LOWER(TRIM(S$20))=LOWER(TRIM(data2!$U$36))),FALSE,AND(S$12,IF(AND($G52,$D52="COI"),
IF(AND(teacher_type="R",career_stage="P"),VLOOKUP($BF52,RPI[],COLUMN(RPI[cot1]),FALSE),
IF(AND(teacher_type="R",career_stage="HP"),VLOOKUP($BF52,RHPI[],COLUMN(RHPI[cot1]),FALSE),
IF(AND(teacher_type="TB",career_stage="P"),VLOOKUP($BF52,TBPI[],COLUMN(TBPI[cot1]),FALSE),
IF(AND(teacher_type="TB",career_stage="HP"),VLOOKUP($BF52,TBHPI[],COLUMN(TBHPI[cot1]),FALSE),FALSE)))),
FALSE))),FALSE)</f>
        <v>0</v>
      </c>
      <c r="BH52" s="154" t="b">
        <v>0</v>
      </c>
      <c r="BI52" s="196" t="b" cm="1">
        <f t="array" ref="BI52">IFERROR(IF(OR(LOWER(TRIM(U$20))=LOWER(TRIM(data2!$U$35)),LOWER(TRIM(U$20))=LOWER(TRIM(data2!$U$36))),FALSE,AND(U$12,IF(AND($G52,$D52="COI"),
IF(AND(teacher_type="R",career_stage="P"),VLOOKUP($BF52,RPI[],COLUMN(RPI[cot2]),FALSE),
IF(AND(teacher_type="R",career_stage="HP"),VLOOKUP($BF52,RHPI[],COLUMN(RHPI[cot2]),FALSE),
IF(AND(teacher_type="TB",career_stage="P"),VLOOKUP($BF52,TBPI[],COLUMN(TBPI[cot2]),FALSE),
IF(AND(teacher_type="TB",career_stage="HP"),VLOOKUP($BF52,TBHPI[],COLUMN(TBHPI[cot2]),FALSE),FALSE)))),
FALSE))),FALSE)</f>
        <v>0</v>
      </c>
      <c r="BJ52" s="154" t="b">
        <v>0</v>
      </c>
      <c r="BK52" s="196" t="b" cm="1">
        <f t="array" ref="BK52">IFERROR(IF(OR(LOWER(TRIM(W$20))=LOWER(TRIM(data2!$U$35)),LOWER(TRIM(W$20))=LOWER(TRIM(data2!$U$36))),FALSE,AND(W$12,IF(AND($G52,$D52="COI"),
IF(AND(teacher_type="R",career_stage="P"),VLOOKUP($BF52,RPI[],COLUMN(RPI[cot3]),FALSE),
IF(AND(teacher_type="R",career_stage="HP"),VLOOKUP($BF52,RHPI[],COLUMN(RHPI[cot3]),FALSE),
IF(AND(teacher_type="TB",career_stage="P"),VLOOKUP($BF52,TBPI[],COLUMN(TBPI[cot3]),FALSE),
IF(AND(teacher_type="TB",career_stage="HP"),VLOOKUP($BF52,TBHPI[],COLUMN(TBHPI[cot3]),FALSE),FALSE)))),
FALSE))),FALSE)</f>
        <v>0</v>
      </c>
      <c r="BL52" s="154" t="b">
        <v>0</v>
      </c>
      <c r="BM52" s="196" t="b" cm="1">
        <f t="array" ref="BM52">IFERROR(IF(OR(LOWER(TRIM(Y$20))=LOWER(TRIM(data2!$U$35)),LOWER(TRIM(Y$20))=LOWER(TRIM(data2!$U$36))),FALSE,AND(Y$12,IF(AND($G52,$D52="COI"),
IF(AND(teacher_type="R",career_stage="P"),VLOOKUP($BF52,RPI[],COLUMN(RPI[cot4]),FALSE),
IF(AND(teacher_type="R",career_stage="HP"),VLOOKUP($BF52,RHPI[],COLUMN(RHPI[cot4]),FALSE),
IF(AND(teacher_type="TB",career_stage="P"),VLOOKUP($BF52,TBPI[],COLUMN(TBPI[cot4]),FALSE),
IF(AND(teacher_type="TB",career_stage="HP"),VLOOKUP($BF52,TBHPI[],COLUMN(TBHPI[cot4]),FALSE),FALSE)))),
FALSE))),FALSE)</f>
        <v>0</v>
      </c>
      <c r="BN52" s="154" t="b">
        <v>0</v>
      </c>
      <c r="BO52" s="150">
        <f t="shared" si="16"/>
        <v>0</v>
      </c>
      <c r="BP52" s="196" t="b">
        <f t="shared" si="17"/>
        <v>0</v>
      </c>
      <c r="BQ52" s="196" t="b">
        <f>IFERROR(IF(OR(NOT(CZ52),LOWER(TRIM(S$20))=LOWER(TRIM(data2!$U$35))),TRUE,IF(AND(CZ52,LOWER(TRIM(S$20))=LOWER(TRIM(data2!$U$36))),FALSE)),FALSE)</f>
        <v>1</v>
      </c>
      <c r="BR52" s="196" t="b">
        <f t="shared" si="18"/>
        <v>0</v>
      </c>
      <c r="BS52" s="196" t="b">
        <f>IFERROR(IF(OR(NOT(DB52),LOWER(TRIM(U$20))=LOWER(TRIM(data2!$U$35))),TRUE,IF(AND(DB52,LOWER(TRIM(U$20))=LOWER(TRIM(data2!$U$36))),FALSE)),FALSE)</f>
        <v>1</v>
      </c>
      <c r="BT52" s="196" t="b">
        <f t="shared" si="19"/>
        <v>0</v>
      </c>
      <c r="BU52" s="196" t="b">
        <f>IFERROR(IF(OR(NOT(DD52),LOWER(TRIM(W$20))=LOWER(TRIM(data2!$U$35))),TRUE,IF(AND(DD52,LOWER(TRIM(W$20))=LOWER(TRIM(data2!$U$36))),FALSE)),FALSE)</f>
        <v>1</v>
      </c>
      <c r="BV52" s="196" t="b">
        <f t="shared" si="20"/>
        <v>0</v>
      </c>
      <c r="BW52" s="196" t="b">
        <f>IFERROR(IF(OR(NOT(DF52),LOWER(TRIM(Y$20))=LOWER(TRIM(data2!$U$35))),TRUE,IF(AND(DF52,LOWER(TRIM(Y$20))=LOWER(TRIM(data2!$U$36))),FALSE)),FALSE)</f>
        <v>1</v>
      </c>
      <c r="BY52" s="154" t="str">
        <f t="shared" si="21"/>
        <v/>
      </c>
      <c r="BZ52" s="154" t="str">
        <f t="shared" si="22"/>
        <v/>
      </c>
      <c r="CA52" s="154" t="str">
        <f t="shared" si="23"/>
        <v/>
      </c>
      <c r="CB52" s="154" t="str">
        <f t="shared" si="24"/>
        <v>CE52:CI52</v>
      </c>
      <c r="CC52" s="154" t="str">
        <f t="shared" si="25"/>
        <v>CK52:CO52</v>
      </c>
      <c r="CD52" s="154" t="str">
        <f t="shared" si="26"/>
        <v>CQ52:CU52</v>
      </c>
      <c r="CE52" s="359" cm="1">
        <f t="array" ref="CE52">IFERROR(IF($BY52&lt;&gt;"",
IF(AND(teacher_type="R",career_stage="P"),
    IF(INDEX(RPS[[Outstanding]:[Poor]],MATCH($BY52,RPS[[helper]:[helper]],0),CE$19)&lt;&gt;"",CE$20,""),
IF(AND(teacher_type="R",career_stage="HP"),
    IF(INDEX(RHPS[[Outstanding]:[Poor]],MATCH($BY52,RHPS[[helper]:[helper]],0),CE$19)&lt;&gt;"",CE$20,""),
IF(AND(teacher_type="TB",career_stage="P"),
    IF(INDEX(TBPS[[Outstanding]:[Poor]],MATCH($BY52,TBPS[[helper]:[helper]],0),CE$19)&lt;&gt;"",CE$20,""),
IF(AND(teacher_type="TB",career_stage="HP"),
    IF(INDEX(TBHPS[[Outstanding]:[Poor]],MATCH($BY52,TBHPS[[helper]:[helper]],0),CE$19)&lt;&gt;"",CE$20,""),
CE$20)))),
CE$20),CE$20)</f>
        <v>5</v>
      </c>
      <c r="CF52" s="359" cm="1">
        <f t="array" ref="CF52">IFERROR(IF($BY52&lt;&gt;"",
IF(AND(teacher_type="R",career_stage="P"),
    IF(INDEX(RPS[[Outstanding]:[Poor]],MATCH($BY52,RPS[[helper]:[helper]],0),CF$19)&lt;&gt;"",CF$20,""),
IF(AND(teacher_type="R",career_stage="HP"),
    IF(INDEX(RHPS[[Outstanding]:[Poor]],MATCH($BY52,RHPS[[helper]:[helper]],0),CF$19)&lt;&gt;"",CF$20,""),
IF(AND(teacher_type="TB",career_stage="P"),
    IF(INDEX(TBPS[[Outstanding]:[Poor]],MATCH($BY52,TBPS[[helper]:[helper]],0),CF$19)&lt;&gt;"",CF$20,""),
IF(AND(teacher_type="TB",career_stage="HP"),
    IF(INDEX(TBHPS[[Outstanding]:[Poor]],MATCH($BY52,TBHPS[[helper]:[helper]],0),CF$19)&lt;&gt;"",CF$20,""),
CF$20)))),
CF$20),CF$20)</f>
        <v>4</v>
      </c>
      <c r="CG52" s="359" cm="1">
        <f t="array" ref="CG52">IFERROR(IF($BY52&lt;&gt;"",
IF(AND(teacher_type="R",career_stage="P"),
    IF(INDEX(RPS[[Outstanding]:[Poor]],MATCH($BY52,RPS[[helper]:[helper]],0),CG$19)&lt;&gt;"",CG$20,""),
IF(AND(teacher_type="R",career_stage="HP"),
    IF(INDEX(RHPS[[Outstanding]:[Poor]],MATCH($BY52,RHPS[[helper]:[helper]],0),CG$19)&lt;&gt;"",CG$20,""),
IF(AND(teacher_type="TB",career_stage="P"),
    IF(INDEX(TBPS[[Outstanding]:[Poor]],MATCH($BY52,TBPS[[helper]:[helper]],0),CG$19)&lt;&gt;"",CG$20,""),
IF(AND(teacher_type="TB",career_stage="HP"),
    IF(INDEX(TBHPS[[Outstanding]:[Poor]],MATCH($BY52,TBHPS[[helper]:[helper]],0),CG$19)&lt;&gt;"",CG$20,""),
CG$20)))),
CG$20),CG$20)</f>
        <v>3</v>
      </c>
      <c r="CH52" s="359" cm="1">
        <f t="array" ref="CH52">IFERROR(IF($BY52&lt;&gt;"",
IF(AND(teacher_type="R",career_stage="P"),
    IF(INDEX(RPS[[Outstanding]:[Poor]],MATCH($BY52,RPS[[helper]:[helper]],0),CH$19)&lt;&gt;"",CH$20,""),
IF(AND(teacher_type="R",career_stage="HP"),
    IF(INDEX(RHPS[[Outstanding]:[Poor]],MATCH($BY52,RHPS[[helper]:[helper]],0),CH$19)&lt;&gt;"",CH$20,""),
IF(AND(teacher_type="TB",career_stage="P"),
    IF(INDEX(TBPS[[Outstanding]:[Poor]],MATCH($BY52,TBPS[[helper]:[helper]],0),CH$19)&lt;&gt;"",CH$20,""),
IF(AND(teacher_type="TB",career_stage="HP"),
    IF(INDEX(TBHPS[[Outstanding]:[Poor]],MATCH($BY52,TBHPS[[helper]:[helper]],0),CH$19)&lt;&gt;"",CH$20,""),
CH$20)))),
CH$20),CH$20)</f>
        <v>2</v>
      </c>
      <c r="CI52" s="359" cm="1">
        <f t="array" ref="CI52">IFERROR(IF($BY52&lt;&gt;"",
IF(AND(teacher_type="R",career_stage="P"),
    IF(INDEX(RPS[[Outstanding]:[Poor]],MATCH($BY52,RPS[[helper]:[helper]],0),CI$19)&lt;&gt;"",CI$20,""),
IF(AND(teacher_type="R",career_stage="HP"),
    IF(INDEX(RHPS[[Outstanding]:[Poor]],MATCH($BY52,RHPS[[helper]:[helper]],0),CI$19)&lt;&gt;"",CI$20,""),
IF(AND(teacher_type="TB",career_stage="P"),
    IF(INDEX(TBPS[[Outstanding]:[Poor]],MATCH($BY52,TBPS[[helper]:[helper]],0),CI$19)&lt;&gt;"",CI$20,""),
IF(AND(teacher_type="TB",career_stage="HP"),
    IF(INDEX(TBHPS[[Outstanding]:[Poor]],MATCH($BY52,TBHPS[[helper]:[helper]],0),CI$19)&lt;&gt;"",CI$20,""),
CI$20)))),
CI$20),CI$20)</f>
        <v>1</v>
      </c>
      <c r="CJ52" s="360">
        <f t="shared" si="27"/>
        <v>5</v>
      </c>
      <c r="CK52" s="359" cm="1">
        <f t="array" ref="CK52">IFERROR(IF($BZ52&lt;&gt;"",
IF(AND(teacher_type="R",career_stage="P"),
    IF(INDEX(RPS[[Outstanding]:[Poor]],MATCH($BZ52,RPS[[helper]:[helper]],0),CK$19)&lt;&gt;"",CK$20,""),
IF(AND(teacher_type="R",career_stage="HP"),
    IF(INDEX(RHPS[[Outstanding]:[Poor]],MATCH($BZ52,RHPS[[helper]:[helper]],0),CK$19)&lt;&gt;"",CK$20,""),
IF(AND(teacher_type="TB",career_stage="P"),
    IF(INDEX(TBPS[[Outstanding]:[Poor]],MATCH($BZ52,TBPS[[helper]:[helper]],0),CK$19)&lt;&gt;"",CK$20,""),
IF(AND(teacher_type="TB",career_stage="HP"),
    IF(INDEX(TBHPS[[Outstanding]:[Poor]],MATCH($BZ52,TBHPS[[helper]:[helper]],0),CK$19)&lt;&gt;"",CK$20,""),
CK$20)))),
CK$20),CK$20)</f>
        <v>5</v>
      </c>
      <c r="CL52" s="359" cm="1">
        <f t="array" ref="CL52">IFERROR(IF($BZ52&lt;&gt;"",
IF(AND(teacher_type="R",career_stage="P"),
    IF(INDEX(RPS[[Outstanding]:[Poor]],MATCH($BZ52,RPS[[helper]:[helper]],0),CL$19)&lt;&gt;"",CL$20,""),
IF(AND(teacher_type="R",career_stage="HP"),
    IF(INDEX(RHPS[[Outstanding]:[Poor]],MATCH($BZ52,RHPS[[helper]:[helper]],0),CL$19)&lt;&gt;"",CL$20,""),
IF(AND(teacher_type="TB",career_stage="P"),
    IF(INDEX(TBPS[[Outstanding]:[Poor]],MATCH($BZ52,TBPS[[helper]:[helper]],0),CL$19)&lt;&gt;"",CL$20,""),
IF(AND(teacher_type="TB",career_stage="HP"),
    IF(INDEX(TBHPS[[Outstanding]:[Poor]],MATCH($BZ52,TBHPS[[helper]:[helper]],0),CL$19)&lt;&gt;"",CL$20,""),
CL$20)))),
CL$20),CL$20)</f>
        <v>4</v>
      </c>
      <c r="CM52" s="359" cm="1">
        <f t="array" ref="CM52">IFERROR(IF($BZ52&lt;&gt;"",
IF(AND(teacher_type="R",career_stage="P"),
    IF(INDEX(RPS[[Outstanding]:[Poor]],MATCH($BZ52,RPS[[helper]:[helper]],0),CM$19)&lt;&gt;"",CM$20,""),
IF(AND(teacher_type="R",career_stage="HP"),
    IF(INDEX(RHPS[[Outstanding]:[Poor]],MATCH($BZ52,RHPS[[helper]:[helper]],0),CM$19)&lt;&gt;"",CM$20,""),
IF(AND(teacher_type="TB",career_stage="P"),
    IF(INDEX(TBPS[[Outstanding]:[Poor]],MATCH($BZ52,TBPS[[helper]:[helper]],0),CM$19)&lt;&gt;"",CM$20,""),
IF(AND(teacher_type="TB",career_stage="HP"),
    IF(INDEX(TBHPS[[Outstanding]:[Poor]],MATCH($BZ52,TBHPS[[helper]:[helper]],0),CM$19)&lt;&gt;"",CM$20,""),
CM$20)))),
CM$20),CM$20)</f>
        <v>3</v>
      </c>
      <c r="CN52" s="359" cm="1">
        <f t="array" ref="CN52">IFERROR(IF($BZ52&lt;&gt;"",
IF(AND(teacher_type="R",career_stage="P"),
    IF(INDEX(RPS[[Outstanding]:[Poor]],MATCH($BZ52,RPS[[helper]:[helper]],0),CN$19)&lt;&gt;"",CN$20,""),
IF(AND(teacher_type="R",career_stage="HP"),
    IF(INDEX(RHPS[[Outstanding]:[Poor]],MATCH($BZ52,RHPS[[helper]:[helper]],0),CN$19)&lt;&gt;"",CN$20,""),
IF(AND(teacher_type="TB",career_stage="P"),
    IF(INDEX(TBPS[[Outstanding]:[Poor]],MATCH($BZ52,TBPS[[helper]:[helper]],0),CN$19)&lt;&gt;"",CN$20,""),
IF(AND(teacher_type="TB",career_stage="HP"),
    IF(INDEX(TBHPS[[Outstanding]:[Poor]],MATCH($BZ52,TBHPS[[helper]:[helper]],0),CN$19)&lt;&gt;"",CN$20,""),
CN$20)))),
CN$20),CN$20)</f>
        <v>2</v>
      </c>
      <c r="CO52" s="359" cm="1">
        <f t="array" ref="CO52">IFERROR(IF($BZ52&lt;&gt;"",
IF(AND(teacher_type="R",career_stage="P"),
    IF(INDEX(RPS[[Outstanding]:[Poor]],MATCH($BZ52,RPS[[helper]:[helper]],0),CO$19)&lt;&gt;"",CO$20,""),
IF(AND(teacher_type="R",career_stage="HP"),
    IF(INDEX(RHPS[[Outstanding]:[Poor]],MATCH($BZ52,RHPS[[helper]:[helper]],0),CO$19)&lt;&gt;"",CO$20,""),
IF(AND(teacher_type="TB",career_stage="P"),
    IF(INDEX(TBPS[[Outstanding]:[Poor]],MATCH($BZ52,TBPS[[helper]:[helper]],0),CO$19)&lt;&gt;"",CO$20,""),
IF(AND(teacher_type="TB",career_stage="HP"),
    IF(INDEX(TBHPS[[Outstanding]:[Poor]],MATCH($BZ52,TBHPS[[helper]:[helper]],0),CO$19)&lt;&gt;"",CO$20,""),
CO$20)))),
CO$20),CO$20)</f>
        <v>1</v>
      </c>
      <c r="CP52" s="360">
        <f t="shared" si="28"/>
        <v>5</v>
      </c>
      <c r="CQ52" s="359" cm="1">
        <f t="array" ref="CQ52">IFERROR(IF($CA52&lt;&gt;"",
IF(AND(teacher_type="R",career_stage="P"),
    IF(INDEX(RPS[[Outstanding]:[Poor]],MATCH($CA52,RPS[[helper]:[helper]],0),CQ$19)&lt;&gt;"",CQ$20,""),
IF(AND(teacher_type="R",career_stage="HP"),
    IF(INDEX(RHPS[[Outstanding]:[Poor]],MATCH($CA52,RHPS[[helper]:[helper]],0),CQ$19)&lt;&gt;"",CQ$20,""),
IF(AND(teacher_type="TB",career_stage="P"),
    IF(INDEX(TBPS[[Outstanding]:[Poor]],MATCH($CA52,TBPS[[helper]:[helper]],0),CQ$19)&lt;&gt;"",CQ$20,""),
IF(AND(teacher_type="TB",career_stage="HP"),
    IF(INDEX(TBHPS[[Outstanding]:[Poor]],MATCH($CA52,TBHPS[[helper]:[helper]],0),CQ$19)&lt;&gt;"",CQ$20,""),
CQ$20)))),
CQ$20),CQ$20)</f>
        <v>5</v>
      </c>
      <c r="CR52" s="359" cm="1">
        <f t="array" ref="CR52">IFERROR(IF($CA52&lt;&gt;"",
IF(AND(teacher_type="R",career_stage="P"),
    IF(INDEX(RPS[[Outstanding]:[Poor]],MATCH($CA52,RPS[[helper]:[helper]],0),CR$19)&lt;&gt;"",CR$20,""),
IF(AND(teacher_type="R",career_stage="HP"),
    IF(INDEX(RHPS[[Outstanding]:[Poor]],MATCH($CA52,RHPS[[helper]:[helper]],0),CR$19)&lt;&gt;"",CR$20,""),
IF(AND(teacher_type="TB",career_stage="P"),
    IF(INDEX(TBPS[[Outstanding]:[Poor]],MATCH($CA52,TBPS[[helper]:[helper]],0),CR$19)&lt;&gt;"",CR$20,""),
IF(AND(teacher_type="TB",career_stage="HP"),
    IF(INDEX(TBHPS[[Outstanding]:[Poor]],MATCH($CA52,TBHPS[[helper]:[helper]],0),CR$19)&lt;&gt;"",CR$20,""),
CR$20)))),
CR$20),CR$20)</f>
        <v>4</v>
      </c>
      <c r="CS52" s="359" cm="1">
        <f t="array" ref="CS52">IFERROR(IF($CA52&lt;&gt;"",
IF(AND(teacher_type="R",career_stage="P"),
    IF(INDEX(RPS[[Outstanding]:[Poor]],MATCH($CA52,RPS[[helper]:[helper]],0),CS$19)&lt;&gt;"",CS$20,""),
IF(AND(teacher_type="R",career_stage="HP"),
    IF(INDEX(RHPS[[Outstanding]:[Poor]],MATCH($CA52,RHPS[[helper]:[helper]],0),CS$19)&lt;&gt;"",CS$20,""),
IF(AND(teacher_type="TB",career_stage="P"),
    IF(INDEX(TBPS[[Outstanding]:[Poor]],MATCH($CA52,TBPS[[helper]:[helper]],0),CS$19)&lt;&gt;"",CS$20,""),
IF(AND(teacher_type="TB",career_stage="HP"),
    IF(INDEX(TBHPS[[Outstanding]:[Poor]],MATCH($CA52,TBHPS[[helper]:[helper]],0),CS$19)&lt;&gt;"",CS$20,""),
CS$20)))),
CS$20),CS$20)</f>
        <v>3</v>
      </c>
      <c r="CT52" s="359" cm="1">
        <f t="array" ref="CT52">IFERROR(IF($CA52&lt;&gt;"",
IF(AND(teacher_type="R",career_stage="P"),
    IF(INDEX(RPS[[Outstanding]:[Poor]],MATCH($CA52,RPS[[helper]:[helper]],0),CT$19)&lt;&gt;"",CT$20,""),
IF(AND(teacher_type="R",career_stage="HP"),
    IF(INDEX(RHPS[[Outstanding]:[Poor]],MATCH($CA52,RHPS[[helper]:[helper]],0),CT$19)&lt;&gt;"",CT$20,""),
IF(AND(teacher_type="TB",career_stage="P"),
    IF(INDEX(TBPS[[Outstanding]:[Poor]],MATCH($CA52,TBPS[[helper]:[helper]],0),CT$19)&lt;&gt;"",CT$20,""),
IF(AND(teacher_type="TB",career_stage="HP"),
    IF(INDEX(TBHPS[[Outstanding]:[Poor]],MATCH($CA52,TBHPS[[helper]:[helper]],0),CT$19)&lt;&gt;"",CT$20,""),
CT$20)))),
CT$20),CT$20)</f>
        <v>2</v>
      </c>
      <c r="CU52" s="359" cm="1">
        <f t="array" ref="CU52">IFERROR(IF($CA52&lt;&gt;"",
IF(AND(teacher_type="R",career_stage="P"),
    IF(INDEX(RPS[[Outstanding]:[Poor]],MATCH($CA52,RPS[[helper]:[helper]],0),CU$19)&lt;&gt;"",CU$20,""),
IF(AND(teacher_type="R",career_stage="HP"),
    IF(INDEX(RHPS[[Outstanding]:[Poor]],MATCH($CA52,RHPS[[helper]:[helper]],0),CU$19)&lt;&gt;"",CU$20,""),
IF(AND(teacher_type="TB",career_stage="P"),
    IF(INDEX(TBPS[[Outstanding]:[Poor]],MATCH($CA52,TBPS[[helper]:[helper]],0),CU$19)&lt;&gt;"",CU$20,""),
IF(AND(teacher_type="TB",career_stage="HP"),
    IF(INDEX(TBHPS[[Outstanding]:[Poor]],MATCH($CA52,TBHPS[[helper]:[helper]],0),CU$19)&lt;&gt;"",CU$20,""),
CU$20)))),
CU$20),CU$20)</f>
        <v>1</v>
      </c>
      <c r="CV52" s="360">
        <f t="shared" si="29"/>
        <v>5</v>
      </c>
      <c r="CY52" s="443" t="b" cm="1">
        <f t="array" ref="CY52">IFERROR(AND(S$12,IF(AND($G52,$D52="COI"),
IF(AND(teacher_type="R",career_stage="P"),VLOOKUP($BF52,RPI[],COLUMN(RPI[cot1]),FALSE),
IF(AND(teacher_type="R",career_stage="HP"),VLOOKUP($BF52,RHPI[],COLUMN(RHPI[cot1]),FALSE),
IF(AND(teacher_type="TB",career_stage="P"),VLOOKUP($BF52,TBPI[],COLUMN(TBPI[cot1]),FALSE),
IF(AND(teacher_type="TB",career_stage="HP"),VLOOKUP($BF52,TBHPI[],COLUMN(TBHPI[cot1]),FALSE),FALSE)))),
FALSE)),FALSE)</f>
        <v>0</v>
      </c>
      <c r="CZ52" s="443" t="b">
        <f t="shared" si="30"/>
        <v>0</v>
      </c>
      <c r="DA52" s="443" t="b" cm="1">
        <f t="array" ref="DA52">IFERROR(AND(U$12,IF(AND($G52,$D52="COI"),
IF(AND(teacher_type="R",career_stage="P"),VLOOKUP($BF52,RPI[],COLUMN(RPI[cot2]),FALSE),
IF(AND(teacher_type="R",career_stage="HP"),VLOOKUP($BF52,RHPI[],COLUMN(RHPI[cot2]),FALSE),
IF(AND(teacher_type="TB",career_stage="P"),VLOOKUP($BF52,TBPI[],COLUMN(TBPI[cot2]),FALSE),
IF(AND(teacher_type="TB",career_stage="HP"),VLOOKUP($BF52,TBHPI[],COLUMN(TBHPI[cot2]),FALSE),FALSE)))),
FALSE)),FALSE)</f>
        <v>0</v>
      </c>
      <c r="DB52" s="443" t="b">
        <f t="shared" si="31"/>
        <v>0</v>
      </c>
      <c r="DC52" s="443" t="b" cm="1">
        <f t="array" ref="DC52">IFERROR(AND(W$12,IF(AND($G52,$D52="COI"),
IF(AND(teacher_type="R",career_stage="P"),VLOOKUP($BF52,RPI[],COLUMN(RPI[cot3]),FALSE),
IF(AND(teacher_type="R",career_stage="HP"),VLOOKUP($BF52,RHPI[],COLUMN(RHPI[cot3]),FALSE),
IF(AND(teacher_type="TB",career_stage="P"),VLOOKUP($BF52,TBPI[],COLUMN(TBPI[cot3]),FALSE),
IF(AND(teacher_type="TB",career_stage="HP"),VLOOKUP($BF52,TBHPI[],COLUMN(TBHPI[cot3]),FALSE),FALSE)))),
FALSE)),FALSE)</f>
        <v>0</v>
      </c>
      <c r="DD52" s="443" t="b">
        <f t="shared" si="32"/>
        <v>0</v>
      </c>
      <c r="DE52" s="443" t="b" cm="1">
        <f t="array" ref="DE52">IFERROR(AND(Y$12,IF(AND($G52,$D52="COI"),
IF(AND(teacher_type="R",career_stage="P"),VLOOKUP($BF52,RPI[],COLUMN(RPI[cot4]),FALSE),
IF(AND(teacher_type="R",career_stage="HP"),VLOOKUP($BF52,RHPI[],COLUMN(RHPI[cot4]),FALSE),
IF(AND(teacher_type="TB",career_stage="P"),VLOOKUP($BF52,TBPI[],COLUMN(TBPI[cot4]),FALSE),
IF(AND(teacher_type="TB",career_stage="HP"),VLOOKUP($BF52,TBHPI[],COLUMN(TBHPI[cot4]),FALSE),FALSE)))),
FALSE)),FALSE)</f>
        <v>0</v>
      </c>
      <c r="DF52" s="443" t="b">
        <f t="shared" si="33"/>
        <v>0</v>
      </c>
      <c r="DG52" s="150">
        <f t="shared" si="34"/>
        <v>0</v>
      </c>
      <c r="DH52" s="154">
        <f>IF(AND(CY52,LOWER(TRIM(S$20))=LOWER(TRIM(data2!$U$35))),1,0) +
IF(AND(DA52,LOWER(TRIM(U$20))=LOWER(TRIM(data2!$U$35))),1,0) +
IF(AND(DC52,LOWER(TRIM(W$20))=LOWER(TRIM(data2!$U$35))),1,0) +
IF(AND(DE52,LOWER(TRIM(Y$20))=LOWER(TRIM(data2!$U$35))),1,0)</f>
        <v>0</v>
      </c>
      <c r="DJ52" s="154">
        <f t="shared" si="35"/>
        <v>0</v>
      </c>
    </row>
    <row r="53" spans="1:114" s="154" customFormat="1" ht="24.95" hidden="1" customHeight="1" x14ac:dyDescent="0.25">
      <c r="A53" s="156"/>
      <c r="B53" s="154">
        <v>32</v>
      </c>
      <c r="C53" s="150" t="str">
        <f>IFERROR(IF(AND(teacher_type="R",career_stage="P"),VLOOKUP(O53,RPI[],COLUMNS(RPI[[Strand]:[admin_selected_coi_ncoi]]),FALSE),IF(AND(teacher_type="R",career_stage="HP"),VLOOKUP(O53,RHPI[],COLUMNS(RHPI[[Strand]:[admin_selected_coi_ncoi]]),FALSE),IF(AND(teacher_type="TB",career_stage="P"),VLOOKUP(O53,TBPI[],COLUMNS(TBPI[[Strand]:[admin_selected_coi_ncoi]]),FALSE),IF(AND(teacher_type="TB",career_stage="HP"),VLOOKUP(O53,TBHPI[],COLUMNS(TBHPI[[Strand]:[admin_selected_coi_ncoi]]),FALSE),"NCOI")))),"NCOI")</f>
        <v>NCOI</v>
      </c>
      <c r="D53" s="150" t="str">
        <f t="shared" si="10"/>
        <v/>
      </c>
      <c r="E53" s="150">
        <f>IFERROR(IF(AND(teacher_type="R",career_stage="P"),VLOOKUP($O53,RPI[[Strand]:[Domain]],COLUMNS(RPI[[Strand]:[Domain]]),FALSE),IF(AND(teacher_type="R",career_stage="HP"),VLOOKUP($O53,RHPI[[Strand]:[Domain]],COLUMNS(RHPI[[Strand]:[Domain]]),FALSE),IF(AND(teacher_type="TB",career_stage="P"),VLOOKUP($O53,TBPI[[Strand]:[Domain]],COLUMNS(TBPI[[Strand]:[Domain]]),FALSE),IF(AND(teacher_type="TB",career_stage="HP"),VLOOKUP($O53,TBHPI[[Strand]:[Domain]],COLUMNS(TBHPI[[Strand]:[Domain]]),FALSE),"")))),"")</f>
        <v>6</v>
      </c>
      <c r="F53" s="155" t="b">
        <f>AND(COUNTIFS($E$22:$E53,E53,$G$22:$G53,TRUE)=1,$G53)</f>
        <v>0</v>
      </c>
      <c r="G53" s="212" t="b">
        <f>IFERROR(IF(AND(teacher_type="R",career_stage="P"),VLOOKUP($O53,RPI[],COLUMNS(RPI[[Strand]:[Selected]]),FALSE),IF(AND(teacher_type="R",career_stage="HP"),VLOOKUP($O53,RHPI[],COLUMNS(RHPI[[Strand]:[Selected]]),FALSE),IF(AND(teacher_type="TB",career_stage="P"),VLOOKUP($O53,TBPI[],COLUMNS(TBPI[[Strand]:[Selected]]),FALSE),IF(AND(teacher_type="TB",career_stage="HP"),VLOOKUP($O53,TBHPI[],COLUMNS(TBHPI[[Strand]:[Selected]]),FALSE),FALSE)))),FALSE)</f>
        <v>0</v>
      </c>
      <c r="H53" s="156" t="b">
        <f>IFERROR(IF(AND(teacher_type="R",career_stage="P"),AND(COUNTIFS(RPS[Strand],$O53,RPS[QET],H$21)&gt;0,$G53),IF(AND(teacher_type="R",career_stage="HP"),AND(COUNTIFS(RHPS[Strand],$O53,RHPS[QET],H$21)&gt;0,$G53),IF(AND(teacher_type="TB",career_stage="P"),AND(COUNTIFS(TBPS[Strand],$O53,TBPS[QET],H$21)&gt;0,$G53),IF(AND(teacher_type="TB",career_stage="HP"),AND(COUNTIFS(TBHPS[Strand],$O53,TBHPS[QET],H$21)&gt;0,$G53),FALSE)))),FALSE)</f>
        <v>0</v>
      </c>
      <c r="I53" s="156" t="b">
        <f t="shared" si="11"/>
        <v>0</v>
      </c>
      <c r="J53" s="156" t="b">
        <f>IFERROR(IF(AND(teacher_type="R",career_stage="P"),AND(COUNTIFS(RPS[Strand],$O53,RPS[QET],J$21)&gt;0,$G53),IF(AND(teacher_type="R",career_stage="HP"),AND(COUNTIFS(RHPS[Strand],$O53,RHPS[QET],J$21)&gt;0,$G53),IF(AND(teacher_type="TB",career_stage="P"),AND(COUNTIFS(TBPS[Strand],$O53,TBPS[QET],J$21)&gt;0,$G53),IF(AND(teacher_type="TB",career_stage="HP"),AND(COUNTIFS(TBHPS[Strand],$O53,TBHPS[QET],J$21)&gt;0,$G53),FALSE)))),FALSE)</f>
        <v>0</v>
      </c>
      <c r="K53" s="156" t="b">
        <f>IFERROR(IF(AND(teacher_type="R",career_stage="P"),AND(COUNTIFS(RPS[Strand],$O53,RPS[QET],K$21)&gt;0,$G53),IF(AND(teacher_type="R",career_stage="HP"),AND(COUNTIFS(RHPS[Strand],$O53,RHPS[QET],K$21)&gt;0,$G53),IF(AND(teacher_type="TB",career_stage="P"),AND(COUNTIFS(TBPS[Strand],$O53,TBPS[QET],K$21)&gt;0,$G53),IF(AND(teacher_type="TB",career_stage="HP"),AND(COUNTIFS(TBHPS[Strand],$O53,TBHPS[QET],K$21)&gt;0,$G53),FALSE)))),FALSE)</f>
        <v>0</v>
      </c>
      <c r="L53" s="156" t="b">
        <f t="shared" si="12"/>
        <v>0</v>
      </c>
      <c r="M53" s="165" t="str">
        <f t="shared" si="13"/>
        <v/>
      </c>
      <c r="N53" s="48" t="str">
        <f>IF($G53,COUNTIF($G$22:$G53,TRUE),"")</f>
        <v/>
      </c>
      <c r="O53" s="48" t="str" cm="1">
        <f t="array" ref="O53">IFERROR(IF(AND(teacher_type="R",career_stage="P"),INDEX(RPI[Strand],$B53),IF(AND(teacher_type="R",career_stage="HP"),INDEX(RHPI[Strand],$B53),IF(AND(teacher_type="TB",career_stage="P"),INDEX(TBPI[Strand],$B53),IF(AND(teacher_type="TB",career_stage="HP"),INDEX(TBHPI[Strand],$B53),"")))),"")</f>
        <v>6.4.2</v>
      </c>
      <c r="P53" s="166" t="str">
        <f>$C$53</f>
        <v>NCOI</v>
      </c>
      <c r="Q53" s="173">
        <f>IFERROR(IF(AND(teacher_type="R",career_stage="P"),VLOOKUP(O53,RPI[],COLUMNS(RPI[[Strand]:[Weight]]),FALSE), IF(AND(teacher_type="R",career_stage="HP"),VLOOKUP(O53,RHPI[],COLUMNS(RHPI[[Strand]:[Weight]]),FALSE), IF(AND(teacher_type="TB",career_stage="P"),VLOOKUP(O53,TBPI[],COLUMNS(TBPI[[Strand]:[Weight]]),FALSE), IF(AND(teacher_type="TB",career_stage="HP"),VLOOKUP(O53,TBHPI[],COLUMNS(TBHPI[[Strand]:[Weight]]),FALSE),0)))),0)</f>
        <v>0</v>
      </c>
      <c r="R53" s="174">
        <f>COUNTIFS($D$22:D53,"COI",$G$22:G53,TRUE)</f>
        <v>9</v>
      </c>
      <c r="S53" s="484"/>
      <c r="T53" s="175" t="str">
        <f>IFERROR(IF(LOWER(TRIM(S$20))=LOWER(TRIM(data2!$U$35)),"",IF(AND($G53,$D53="COI",S$12,CZ53),IF(OR(LOWER(TRIM(S$20))=LOWER(TRIM(data2!$U$36)),ISBLANK(S53)),1,IF(career_stage="P",VLOOKUP(S53,P_COT_vlookup,2,FALSE),IF(career_stage="HP",VLOOKUP(S53,HP_COT_vlookup,2,FALSE),""))),"")),"")</f>
        <v/>
      </c>
      <c r="U53" s="471"/>
      <c r="V53" s="176" t="str">
        <f>IFERROR(IF(LOWER(TRIM(U$20))=LOWER(TRIM(data2!$U$35)),"",IF(AND($G53,$D53="COI",U$12,DB53),IF(OR(LOWER(TRIM(U$20))=LOWER(TRIM(data2!$U$36)),ISBLANK(U53)),1,IF(career_stage="P",VLOOKUP(U53,P_COT_vlookup,2,FALSE),IF(career_stage="HP",VLOOKUP(U53,HP_COT_vlookup,2,FALSE),""))),"")),"")</f>
        <v/>
      </c>
      <c r="W53" s="484"/>
      <c r="X53" s="175" t="str">
        <f>IFERROR(IF(LOWER(TRIM(W$20))=LOWER(TRIM(data2!$U$35)),"",IF(AND($G53,$D53="COI",W$12,DD53),IF(OR(LOWER(TRIM(W$20))=LOWER(TRIM(data2!$U$36)),ISBLANK(W53)),1,IF(career_stage="P",VLOOKUP(W53,P_COT_vlookup,2,FALSE),IF(career_stage="HP",VLOOKUP(W53,HP_COT_vlookup,2,FALSE),""))),"")),"")</f>
        <v/>
      </c>
      <c r="Y53" s="471"/>
      <c r="Z53" s="176" t="str">
        <f>IFERROR(IF(LOWER(TRIM(Y$20))=LOWER(TRIM(data2!$U$35)),"",IF(AND($G53,$D53="COI",Y$12,DF53),IF(OR(LOWER(TRIM(Y$20))=LOWER(TRIM(data2!$U$36)),ISBLANK(Y53)),1,IF(career_stage="P",VLOOKUP(Y53,P_COT_vlookup,2,FALSE),IF(career_stage="HP",VLOOKUP(Y53,HP_COT_vlookup,2,FALSE),""))),"")),"")</f>
        <v/>
      </c>
      <c r="AA53" s="171">
        <f t="shared" si="14"/>
        <v>0</v>
      </c>
      <c r="AB53" s="471"/>
      <c r="AC53" s="474"/>
      <c r="AD53" s="473"/>
      <c r="AE53" s="49">
        <f t="shared" si="2"/>
        <v>0</v>
      </c>
      <c r="AF53" s="49">
        <f t="shared" si="3"/>
        <v>0</v>
      </c>
      <c r="AG53" s="172" t="str">
        <f t="shared" si="4"/>
        <v>Poor</v>
      </c>
      <c r="AI53" s="196" t="b">
        <f t="shared" si="5"/>
        <v>1</v>
      </c>
      <c r="AJ53" s="154" t="b">
        <v>1</v>
      </c>
      <c r="AK53" s="154" t="b">
        <v>1</v>
      </c>
      <c r="AL53" s="196" t="b">
        <f t="shared" si="15"/>
        <v>1</v>
      </c>
      <c r="AM53" s="154" t="b">
        <v>1</v>
      </c>
      <c r="AN53" s="196" t="b">
        <f t="shared" si="15"/>
        <v>1</v>
      </c>
      <c r="AO53" s="154" t="b">
        <v>1</v>
      </c>
      <c r="AP53" s="196" t="b">
        <f t="shared" si="15"/>
        <v>1</v>
      </c>
      <c r="AQ53" s="154" t="b">
        <v>1</v>
      </c>
      <c r="AR53" s="196" t="b">
        <f t="shared" si="15"/>
        <v>1</v>
      </c>
      <c r="AS53" s="154" t="b">
        <v>1</v>
      </c>
      <c r="AT53" s="154" t="b">
        <v>1</v>
      </c>
      <c r="AU53" s="196" t="b">
        <f t="shared" si="6"/>
        <v>1</v>
      </c>
      <c r="AV53" s="196" t="b">
        <f t="shared" si="7"/>
        <v>1</v>
      </c>
      <c r="AW53" s="196" t="b">
        <f t="shared" si="8"/>
        <v>1</v>
      </c>
      <c r="AX53" s="47" t="b">
        <v>1</v>
      </c>
      <c r="AY53" s="47" t="b">
        <v>1</v>
      </c>
      <c r="AZ53" s="47" t="b">
        <v>1</v>
      </c>
      <c r="BF53" s="154" t="str">
        <f t="shared" si="9"/>
        <v>6.4.2</v>
      </c>
      <c r="BG53" s="196" t="b" cm="1">
        <f t="array" ref="BG53">IFERROR(IF(OR(LOWER(TRIM(S$20))=LOWER(TRIM(data2!$U$35)),LOWER(TRIM(S$20))=LOWER(TRIM(data2!$U$36))),FALSE,AND(S$12,IF(AND($G53,$D53="COI"),
IF(AND(teacher_type="R",career_stage="P"),VLOOKUP($BF53,RPI[],COLUMN(RPI[cot1]),FALSE),
IF(AND(teacher_type="R",career_stage="HP"),VLOOKUP($BF53,RHPI[],COLUMN(RHPI[cot1]),FALSE),
IF(AND(teacher_type="TB",career_stage="P"),VLOOKUP($BF53,TBPI[],COLUMN(TBPI[cot1]),FALSE),
IF(AND(teacher_type="TB",career_stage="HP"),VLOOKUP($BF53,TBHPI[],COLUMN(TBHPI[cot1]),FALSE),FALSE)))),
FALSE))),FALSE)</f>
        <v>0</v>
      </c>
      <c r="BH53" s="154" t="b">
        <v>0</v>
      </c>
      <c r="BI53" s="196" t="b" cm="1">
        <f t="array" ref="BI53">IFERROR(IF(OR(LOWER(TRIM(U$20))=LOWER(TRIM(data2!$U$35)),LOWER(TRIM(U$20))=LOWER(TRIM(data2!$U$36))),FALSE,AND(U$12,IF(AND($G53,$D53="COI"),
IF(AND(teacher_type="R",career_stage="P"),VLOOKUP($BF53,RPI[],COLUMN(RPI[cot2]),FALSE),
IF(AND(teacher_type="R",career_stage="HP"),VLOOKUP($BF53,RHPI[],COLUMN(RHPI[cot2]),FALSE),
IF(AND(teacher_type="TB",career_stage="P"),VLOOKUP($BF53,TBPI[],COLUMN(TBPI[cot2]),FALSE),
IF(AND(teacher_type="TB",career_stage="HP"),VLOOKUP($BF53,TBHPI[],COLUMN(TBHPI[cot2]),FALSE),FALSE)))),
FALSE))),FALSE)</f>
        <v>0</v>
      </c>
      <c r="BJ53" s="154" t="b">
        <v>0</v>
      </c>
      <c r="BK53" s="196" t="b" cm="1">
        <f t="array" ref="BK53">IFERROR(IF(OR(LOWER(TRIM(W$20))=LOWER(TRIM(data2!$U$35)),LOWER(TRIM(W$20))=LOWER(TRIM(data2!$U$36))),FALSE,AND(W$12,IF(AND($G53,$D53="COI"),
IF(AND(teacher_type="R",career_stage="P"),VLOOKUP($BF53,RPI[],COLUMN(RPI[cot3]),FALSE),
IF(AND(teacher_type="R",career_stage="HP"),VLOOKUP($BF53,RHPI[],COLUMN(RHPI[cot3]),FALSE),
IF(AND(teacher_type="TB",career_stage="P"),VLOOKUP($BF53,TBPI[],COLUMN(TBPI[cot3]),FALSE),
IF(AND(teacher_type="TB",career_stage="HP"),VLOOKUP($BF53,TBHPI[],COLUMN(TBHPI[cot3]),FALSE),FALSE)))),
FALSE))),FALSE)</f>
        <v>0</v>
      </c>
      <c r="BL53" s="154" t="b">
        <v>0</v>
      </c>
      <c r="BM53" s="196" t="b" cm="1">
        <f t="array" ref="BM53">IFERROR(IF(OR(LOWER(TRIM(Y$20))=LOWER(TRIM(data2!$U$35)),LOWER(TRIM(Y$20))=LOWER(TRIM(data2!$U$36))),FALSE,AND(Y$12,IF(AND($G53,$D53="COI"),
IF(AND(teacher_type="R",career_stage="P"),VLOOKUP($BF53,RPI[],COLUMN(RPI[cot4]),FALSE),
IF(AND(teacher_type="R",career_stage="HP"),VLOOKUP($BF53,RHPI[],COLUMN(RHPI[cot4]),FALSE),
IF(AND(teacher_type="TB",career_stage="P"),VLOOKUP($BF53,TBPI[],COLUMN(TBPI[cot4]),FALSE),
IF(AND(teacher_type="TB",career_stage="HP"),VLOOKUP($BF53,TBHPI[],COLUMN(TBHPI[cot4]),FALSE),FALSE)))),
FALSE))),FALSE)</f>
        <v>0</v>
      </c>
      <c r="BN53" s="154" t="b">
        <v>0</v>
      </c>
      <c r="BO53" s="150">
        <f t="shared" si="16"/>
        <v>0</v>
      </c>
      <c r="BP53" s="196" t="b">
        <f t="shared" si="17"/>
        <v>0</v>
      </c>
      <c r="BQ53" s="196" t="b">
        <f>IFERROR(IF(OR(NOT(CZ53),LOWER(TRIM(S$20))=LOWER(TRIM(data2!$U$35))),TRUE,IF(AND(CZ53,LOWER(TRIM(S$20))=LOWER(TRIM(data2!$U$36))),FALSE)),FALSE)</f>
        <v>1</v>
      </c>
      <c r="BR53" s="196" t="b">
        <f t="shared" si="18"/>
        <v>0</v>
      </c>
      <c r="BS53" s="196" t="b">
        <f>IFERROR(IF(OR(NOT(DB53),LOWER(TRIM(U$20))=LOWER(TRIM(data2!$U$35))),TRUE,IF(AND(DB53,LOWER(TRIM(U$20))=LOWER(TRIM(data2!$U$36))),FALSE)),FALSE)</f>
        <v>1</v>
      </c>
      <c r="BT53" s="196" t="b">
        <f t="shared" si="19"/>
        <v>0</v>
      </c>
      <c r="BU53" s="196" t="b">
        <f>IFERROR(IF(OR(NOT(DD53),LOWER(TRIM(W$20))=LOWER(TRIM(data2!$U$35))),TRUE,IF(AND(DD53,LOWER(TRIM(W$20))=LOWER(TRIM(data2!$U$36))),FALSE)),FALSE)</f>
        <v>1</v>
      </c>
      <c r="BV53" s="196" t="b">
        <f t="shared" si="20"/>
        <v>0</v>
      </c>
      <c r="BW53" s="196" t="b">
        <f>IFERROR(IF(OR(NOT(DF53),LOWER(TRIM(Y$20))=LOWER(TRIM(data2!$U$35))),TRUE,IF(AND(DF53,LOWER(TRIM(Y$20))=LOWER(TRIM(data2!$U$36))),FALSE)),FALSE)</f>
        <v>1</v>
      </c>
      <c r="BY53" s="154" t="str">
        <f t="shared" si="21"/>
        <v/>
      </c>
      <c r="BZ53" s="154" t="str">
        <f t="shared" si="22"/>
        <v/>
      </c>
      <c r="CA53" s="154" t="str">
        <f t="shared" si="23"/>
        <v/>
      </c>
      <c r="CB53" s="154" t="str">
        <f t="shared" si="24"/>
        <v>CE53:CI53</v>
      </c>
      <c r="CC53" s="154" t="str">
        <f t="shared" si="25"/>
        <v>CK53:CO53</v>
      </c>
      <c r="CD53" s="154" t="str">
        <f t="shared" si="26"/>
        <v>CQ53:CU53</v>
      </c>
      <c r="CE53" s="359" cm="1">
        <f t="array" ref="CE53">IFERROR(IF($BY53&lt;&gt;"",
IF(AND(teacher_type="R",career_stage="P"),
    IF(INDEX(RPS[[Outstanding]:[Poor]],MATCH($BY53,RPS[[helper]:[helper]],0),CE$19)&lt;&gt;"",CE$20,""),
IF(AND(teacher_type="R",career_stage="HP"),
    IF(INDEX(RHPS[[Outstanding]:[Poor]],MATCH($BY53,RHPS[[helper]:[helper]],0),CE$19)&lt;&gt;"",CE$20,""),
IF(AND(teacher_type="TB",career_stage="P"),
    IF(INDEX(TBPS[[Outstanding]:[Poor]],MATCH($BY53,TBPS[[helper]:[helper]],0),CE$19)&lt;&gt;"",CE$20,""),
IF(AND(teacher_type="TB",career_stage="HP"),
    IF(INDEX(TBHPS[[Outstanding]:[Poor]],MATCH($BY53,TBHPS[[helper]:[helper]],0),CE$19)&lt;&gt;"",CE$20,""),
CE$20)))),
CE$20),CE$20)</f>
        <v>5</v>
      </c>
      <c r="CF53" s="359" cm="1">
        <f t="array" ref="CF53">IFERROR(IF($BY53&lt;&gt;"",
IF(AND(teacher_type="R",career_stage="P"),
    IF(INDEX(RPS[[Outstanding]:[Poor]],MATCH($BY53,RPS[[helper]:[helper]],0),CF$19)&lt;&gt;"",CF$20,""),
IF(AND(teacher_type="R",career_stage="HP"),
    IF(INDEX(RHPS[[Outstanding]:[Poor]],MATCH($BY53,RHPS[[helper]:[helper]],0),CF$19)&lt;&gt;"",CF$20,""),
IF(AND(teacher_type="TB",career_stage="P"),
    IF(INDEX(TBPS[[Outstanding]:[Poor]],MATCH($BY53,TBPS[[helper]:[helper]],0),CF$19)&lt;&gt;"",CF$20,""),
IF(AND(teacher_type="TB",career_stage="HP"),
    IF(INDEX(TBHPS[[Outstanding]:[Poor]],MATCH($BY53,TBHPS[[helper]:[helper]],0),CF$19)&lt;&gt;"",CF$20,""),
CF$20)))),
CF$20),CF$20)</f>
        <v>4</v>
      </c>
      <c r="CG53" s="359" cm="1">
        <f t="array" ref="CG53">IFERROR(IF($BY53&lt;&gt;"",
IF(AND(teacher_type="R",career_stage="P"),
    IF(INDEX(RPS[[Outstanding]:[Poor]],MATCH($BY53,RPS[[helper]:[helper]],0),CG$19)&lt;&gt;"",CG$20,""),
IF(AND(teacher_type="R",career_stage="HP"),
    IF(INDEX(RHPS[[Outstanding]:[Poor]],MATCH($BY53,RHPS[[helper]:[helper]],0),CG$19)&lt;&gt;"",CG$20,""),
IF(AND(teacher_type="TB",career_stage="P"),
    IF(INDEX(TBPS[[Outstanding]:[Poor]],MATCH($BY53,TBPS[[helper]:[helper]],0),CG$19)&lt;&gt;"",CG$20,""),
IF(AND(teacher_type="TB",career_stage="HP"),
    IF(INDEX(TBHPS[[Outstanding]:[Poor]],MATCH($BY53,TBHPS[[helper]:[helper]],0),CG$19)&lt;&gt;"",CG$20,""),
CG$20)))),
CG$20),CG$20)</f>
        <v>3</v>
      </c>
      <c r="CH53" s="359" cm="1">
        <f t="array" ref="CH53">IFERROR(IF($BY53&lt;&gt;"",
IF(AND(teacher_type="R",career_stage="P"),
    IF(INDEX(RPS[[Outstanding]:[Poor]],MATCH($BY53,RPS[[helper]:[helper]],0),CH$19)&lt;&gt;"",CH$20,""),
IF(AND(teacher_type="R",career_stage="HP"),
    IF(INDEX(RHPS[[Outstanding]:[Poor]],MATCH($BY53,RHPS[[helper]:[helper]],0),CH$19)&lt;&gt;"",CH$20,""),
IF(AND(teacher_type="TB",career_stage="P"),
    IF(INDEX(TBPS[[Outstanding]:[Poor]],MATCH($BY53,TBPS[[helper]:[helper]],0),CH$19)&lt;&gt;"",CH$20,""),
IF(AND(teacher_type="TB",career_stage="HP"),
    IF(INDEX(TBHPS[[Outstanding]:[Poor]],MATCH($BY53,TBHPS[[helper]:[helper]],0),CH$19)&lt;&gt;"",CH$20,""),
CH$20)))),
CH$20),CH$20)</f>
        <v>2</v>
      </c>
      <c r="CI53" s="359" cm="1">
        <f t="array" ref="CI53">IFERROR(IF($BY53&lt;&gt;"",
IF(AND(teacher_type="R",career_stage="P"),
    IF(INDEX(RPS[[Outstanding]:[Poor]],MATCH($BY53,RPS[[helper]:[helper]],0),CI$19)&lt;&gt;"",CI$20,""),
IF(AND(teacher_type="R",career_stage="HP"),
    IF(INDEX(RHPS[[Outstanding]:[Poor]],MATCH($BY53,RHPS[[helper]:[helper]],0),CI$19)&lt;&gt;"",CI$20,""),
IF(AND(teacher_type="TB",career_stage="P"),
    IF(INDEX(TBPS[[Outstanding]:[Poor]],MATCH($BY53,TBPS[[helper]:[helper]],0),CI$19)&lt;&gt;"",CI$20,""),
IF(AND(teacher_type="TB",career_stage="HP"),
    IF(INDEX(TBHPS[[Outstanding]:[Poor]],MATCH($BY53,TBHPS[[helper]:[helper]],0),CI$19)&lt;&gt;"",CI$20,""),
CI$20)))),
CI$20),CI$20)</f>
        <v>1</v>
      </c>
      <c r="CJ53" s="360">
        <f t="shared" si="27"/>
        <v>5</v>
      </c>
      <c r="CK53" s="359" cm="1">
        <f t="array" ref="CK53">IFERROR(IF($BZ53&lt;&gt;"",
IF(AND(teacher_type="R",career_stage="P"),
    IF(INDEX(RPS[[Outstanding]:[Poor]],MATCH($BZ53,RPS[[helper]:[helper]],0),CK$19)&lt;&gt;"",CK$20,""),
IF(AND(teacher_type="R",career_stage="HP"),
    IF(INDEX(RHPS[[Outstanding]:[Poor]],MATCH($BZ53,RHPS[[helper]:[helper]],0),CK$19)&lt;&gt;"",CK$20,""),
IF(AND(teacher_type="TB",career_stage="P"),
    IF(INDEX(TBPS[[Outstanding]:[Poor]],MATCH($BZ53,TBPS[[helper]:[helper]],0),CK$19)&lt;&gt;"",CK$20,""),
IF(AND(teacher_type="TB",career_stage="HP"),
    IF(INDEX(TBHPS[[Outstanding]:[Poor]],MATCH($BZ53,TBHPS[[helper]:[helper]],0),CK$19)&lt;&gt;"",CK$20,""),
CK$20)))),
CK$20),CK$20)</f>
        <v>5</v>
      </c>
      <c r="CL53" s="359" cm="1">
        <f t="array" ref="CL53">IFERROR(IF($BZ53&lt;&gt;"",
IF(AND(teacher_type="R",career_stage="P"),
    IF(INDEX(RPS[[Outstanding]:[Poor]],MATCH($BZ53,RPS[[helper]:[helper]],0),CL$19)&lt;&gt;"",CL$20,""),
IF(AND(teacher_type="R",career_stage="HP"),
    IF(INDEX(RHPS[[Outstanding]:[Poor]],MATCH($BZ53,RHPS[[helper]:[helper]],0),CL$19)&lt;&gt;"",CL$20,""),
IF(AND(teacher_type="TB",career_stage="P"),
    IF(INDEX(TBPS[[Outstanding]:[Poor]],MATCH($BZ53,TBPS[[helper]:[helper]],0),CL$19)&lt;&gt;"",CL$20,""),
IF(AND(teacher_type="TB",career_stage="HP"),
    IF(INDEX(TBHPS[[Outstanding]:[Poor]],MATCH($BZ53,TBHPS[[helper]:[helper]],0),CL$19)&lt;&gt;"",CL$20,""),
CL$20)))),
CL$20),CL$20)</f>
        <v>4</v>
      </c>
      <c r="CM53" s="359" cm="1">
        <f t="array" ref="CM53">IFERROR(IF($BZ53&lt;&gt;"",
IF(AND(teacher_type="R",career_stage="P"),
    IF(INDEX(RPS[[Outstanding]:[Poor]],MATCH($BZ53,RPS[[helper]:[helper]],0),CM$19)&lt;&gt;"",CM$20,""),
IF(AND(teacher_type="R",career_stage="HP"),
    IF(INDEX(RHPS[[Outstanding]:[Poor]],MATCH($BZ53,RHPS[[helper]:[helper]],0),CM$19)&lt;&gt;"",CM$20,""),
IF(AND(teacher_type="TB",career_stage="P"),
    IF(INDEX(TBPS[[Outstanding]:[Poor]],MATCH($BZ53,TBPS[[helper]:[helper]],0),CM$19)&lt;&gt;"",CM$20,""),
IF(AND(teacher_type="TB",career_stage="HP"),
    IF(INDEX(TBHPS[[Outstanding]:[Poor]],MATCH($BZ53,TBHPS[[helper]:[helper]],0),CM$19)&lt;&gt;"",CM$20,""),
CM$20)))),
CM$20),CM$20)</f>
        <v>3</v>
      </c>
      <c r="CN53" s="359" cm="1">
        <f t="array" ref="CN53">IFERROR(IF($BZ53&lt;&gt;"",
IF(AND(teacher_type="R",career_stage="P"),
    IF(INDEX(RPS[[Outstanding]:[Poor]],MATCH($BZ53,RPS[[helper]:[helper]],0),CN$19)&lt;&gt;"",CN$20,""),
IF(AND(teacher_type="R",career_stage="HP"),
    IF(INDEX(RHPS[[Outstanding]:[Poor]],MATCH($BZ53,RHPS[[helper]:[helper]],0),CN$19)&lt;&gt;"",CN$20,""),
IF(AND(teacher_type="TB",career_stage="P"),
    IF(INDEX(TBPS[[Outstanding]:[Poor]],MATCH($BZ53,TBPS[[helper]:[helper]],0),CN$19)&lt;&gt;"",CN$20,""),
IF(AND(teacher_type="TB",career_stage="HP"),
    IF(INDEX(TBHPS[[Outstanding]:[Poor]],MATCH($BZ53,TBHPS[[helper]:[helper]],0),CN$19)&lt;&gt;"",CN$20,""),
CN$20)))),
CN$20),CN$20)</f>
        <v>2</v>
      </c>
      <c r="CO53" s="359" cm="1">
        <f t="array" ref="CO53">IFERROR(IF($BZ53&lt;&gt;"",
IF(AND(teacher_type="R",career_stage="P"),
    IF(INDEX(RPS[[Outstanding]:[Poor]],MATCH($BZ53,RPS[[helper]:[helper]],0),CO$19)&lt;&gt;"",CO$20,""),
IF(AND(teacher_type="R",career_stage="HP"),
    IF(INDEX(RHPS[[Outstanding]:[Poor]],MATCH($BZ53,RHPS[[helper]:[helper]],0),CO$19)&lt;&gt;"",CO$20,""),
IF(AND(teacher_type="TB",career_stage="P"),
    IF(INDEX(TBPS[[Outstanding]:[Poor]],MATCH($BZ53,TBPS[[helper]:[helper]],0),CO$19)&lt;&gt;"",CO$20,""),
IF(AND(teacher_type="TB",career_stage="HP"),
    IF(INDEX(TBHPS[[Outstanding]:[Poor]],MATCH($BZ53,TBHPS[[helper]:[helper]],0),CO$19)&lt;&gt;"",CO$20,""),
CO$20)))),
CO$20),CO$20)</f>
        <v>1</v>
      </c>
      <c r="CP53" s="360">
        <f t="shared" si="28"/>
        <v>5</v>
      </c>
      <c r="CQ53" s="359" cm="1">
        <f t="array" ref="CQ53">IFERROR(IF($CA53&lt;&gt;"",
IF(AND(teacher_type="R",career_stage="P"),
    IF(INDEX(RPS[[Outstanding]:[Poor]],MATCH($CA53,RPS[[helper]:[helper]],0),CQ$19)&lt;&gt;"",CQ$20,""),
IF(AND(teacher_type="R",career_stage="HP"),
    IF(INDEX(RHPS[[Outstanding]:[Poor]],MATCH($CA53,RHPS[[helper]:[helper]],0),CQ$19)&lt;&gt;"",CQ$20,""),
IF(AND(teacher_type="TB",career_stage="P"),
    IF(INDEX(TBPS[[Outstanding]:[Poor]],MATCH($CA53,TBPS[[helper]:[helper]],0),CQ$19)&lt;&gt;"",CQ$20,""),
IF(AND(teacher_type="TB",career_stage="HP"),
    IF(INDEX(TBHPS[[Outstanding]:[Poor]],MATCH($CA53,TBHPS[[helper]:[helper]],0),CQ$19)&lt;&gt;"",CQ$20,""),
CQ$20)))),
CQ$20),CQ$20)</f>
        <v>5</v>
      </c>
      <c r="CR53" s="359" cm="1">
        <f t="array" ref="CR53">IFERROR(IF($CA53&lt;&gt;"",
IF(AND(teacher_type="R",career_stage="P"),
    IF(INDEX(RPS[[Outstanding]:[Poor]],MATCH($CA53,RPS[[helper]:[helper]],0),CR$19)&lt;&gt;"",CR$20,""),
IF(AND(teacher_type="R",career_stage="HP"),
    IF(INDEX(RHPS[[Outstanding]:[Poor]],MATCH($CA53,RHPS[[helper]:[helper]],0),CR$19)&lt;&gt;"",CR$20,""),
IF(AND(teacher_type="TB",career_stage="P"),
    IF(INDEX(TBPS[[Outstanding]:[Poor]],MATCH($CA53,TBPS[[helper]:[helper]],0),CR$19)&lt;&gt;"",CR$20,""),
IF(AND(teacher_type="TB",career_stage="HP"),
    IF(INDEX(TBHPS[[Outstanding]:[Poor]],MATCH($CA53,TBHPS[[helper]:[helper]],0),CR$19)&lt;&gt;"",CR$20,""),
CR$20)))),
CR$20),CR$20)</f>
        <v>4</v>
      </c>
      <c r="CS53" s="359" cm="1">
        <f t="array" ref="CS53">IFERROR(IF($CA53&lt;&gt;"",
IF(AND(teacher_type="R",career_stage="P"),
    IF(INDEX(RPS[[Outstanding]:[Poor]],MATCH($CA53,RPS[[helper]:[helper]],0),CS$19)&lt;&gt;"",CS$20,""),
IF(AND(teacher_type="R",career_stage="HP"),
    IF(INDEX(RHPS[[Outstanding]:[Poor]],MATCH($CA53,RHPS[[helper]:[helper]],0),CS$19)&lt;&gt;"",CS$20,""),
IF(AND(teacher_type="TB",career_stage="P"),
    IF(INDEX(TBPS[[Outstanding]:[Poor]],MATCH($CA53,TBPS[[helper]:[helper]],0),CS$19)&lt;&gt;"",CS$20,""),
IF(AND(teacher_type="TB",career_stage="HP"),
    IF(INDEX(TBHPS[[Outstanding]:[Poor]],MATCH($CA53,TBHPS[[helper]:[helper]],0),CS$19)&lt;&gt;"",CS$20,""),
CS$20)))),
CS$20),CS$20)</f>
        <v>3</v>
      </c>
      <c r="CT53" s="359" cm="1">
        <f t="array" ref="CT53">IFERROR(IF($CA53&lt;&gt;"",
IF(AND(teacher_type="R",career_stage="P"),
    IF(INDEX(RPS[[Outstanding]:[Poor]],MATCH($CA53,RPS[[helper]:[helper]],0),CT$19)&lt;&gt;"",CT$20,""),
IF(AND(teacher_type="R",career_stage="HP"),
    IF(INDEX(RHPS[[Outstanding]:[Poor]],MATCH($CA53,RHPS[[helper]:[helper]],0),CT$19)&lt;&gt;"",CT$20,""),
IF(AND(teacher_type="TB",career_stage="P"),
    IF(INDEX(TBPS[[Outstanding]:[Poor]],MATCH($CA53,TBPS[[helper]:[helper]],0),CT$19)&lt;&gt;"",CT$20,""),
IF(AND(teacher_type="TB",career_stage="HP"),
    IF(INDEX(TBHPS[[Outstanding]:[Poor]],MATCH($CA53,TBHPS[[helper]:[helper]],0),CT$19)&lt;&gt;"",CT$20,""),
CT$20)))),
CT$20),CT$20)</f>
        <v>2</v>
      </c>
      <c r="CU53" s="359" cm="1">
        <f t="array" ref="CU53">IFERROR(IF($CA53&lt;&gt;"",
IF(AND(teacher_type="R",career_stage="P"),
    IF(INDEX(RPS[[Outstanding]:[Poor]],MATCH($CA53,RPS[[helper]:[helper]],0),CU$19)&lt;&gt;"",CU$20,""),
IF(AND(teacher_type="R",career_stage="HP"),
    IF(INDEX(RHPS[[Outstanding]:[Poor]],MATCH($CA53,RHPS[[helper]:[helper]],0),CU$19)&lt;&gt;"",CU$20,""),
IF(AND(teacher_type="TB",career_stage="P"),
    IF(INDEX(TBPS[[Outstanding]:[Poor]],MATCH($CA53,TBPS[[helper]:[helper]],0),CU$19)&lt;&gt;"",CU$20,""),
IF(AND(teacher_type="TB",career_stage="HP"),
    IF(INDEX(TBHPS[[Outstanding]:[Poor]],MATCH($CA53,TBHPS[[helper]:[helper]],0),CU$19)&lt;&gt;"",CU$20,""),
CU$20)))),
CU$20),CU$20)</f>
        <v>1</v>
      </c>
      <c r="CV53" s="360">
        <f t="shared" si="29"/>
        <v>5</v>
      </c>
      <c r="CY53" s="443" t="b" cm="1">
        <f t="array" ref="CY53">IFERROR(AND(S$12,IF(AND($G53,$D53="COI"),
IF(AND(teacher_type="R",career_stage="P"),VLOOKUP($BF53,RPI[],COLUMN(RPI[cot1]),FALSE),
IF(AND(teacher_type="R",career_stage="HP"),VLOOKUP($BF53,RHPI[],COLUMN(RHPI[cot1]),FALSE),
IF(AND(teacher_type="TB",career_stage="P"),VLOOKUP($BF53,TBPI[],COLUMN(TBPI[cot1]),FALSE),
IF(AND(teacher_type="TB",career_stage="HP"),VLOOKUP($BF53,TBHPI[],COLUMN(TBHPI[cot1]),FALSE),FALSE)))),
FALSE)),FALSE)</f>
        <v>0</v>
      </c>
      <c r="CZ53" s="443" t="b">
        <f t="shared" si="30"/>
        <v>0</v>
      </c>
      <c r="DA53" s="443" t="b" cm="1">
        <f t="array" ref="DA53">IFERROR(AND(U$12,IF(AND($G53,$D53="COI"),
IF(AND(teacher_type="R",career_stage="P"),VLOOKUP($BF53,RPI[],COLUMN(RPI[cot2]),FALSE),
IF(AND(teacher_type="R",career_stage="HP"),VLOOKUP($BF53,RHPI[],COLUMN(RHPI[cot2]),FALSE),
IF(AND(teacher_type="TB",career_stage="P"),VLOOKUP($BF53,TBPI[],COLUMN(TBPI[cot2]),FALSE),
IF(AND(teacher_type="TB",career_stage="HP"),VLOOKUP($BF53,TBHPI[],COLUMN(TBHPI[cot2]),FALSE),FALSE)))),
FALSE)),FALSE)</f>
        <v>0</v>
      </c>
      <c r="DB53" s="443" t="b">
        <f t="shared" si="31"/>
        <v>0</v>
      </c>
      <c r="DC53" s="443" t="b" cm="1">
        <f t="array" ref="DC53">IFERROR(AND(W$12,IF(AND($G53,$D53="COI"),
IF(AND(teacher_type="R",career_stage="P"),VLOOKUP($BF53,RPI[],COLUMN(RPI[cot3]),FALSE),
IF(AND(teacher_type="R",career_stage="HP"),VLOOKUP($BF53,RHPI[],COLUMN(RHPI[cot3]),FALSE),
IF(AND(teacher_type="TB",career_stage="P"),VLOOKUP($BF53,TBPI[],COLUMN(TBPI[cot3]),FALSE),
IF(AND(teacher_type="TB",career_stage="HP"),VLOOKUP($BF53,TBHPI[],COLUMN(TBHPI[cot3]),FALSE),FALSE)))),
FALSE)),FALSE)</f>
        <v>0</v>
      </c>
      <c r="DD53" s="443" t="b">
        <f t="shared" si="32"/>
        <v>0</v>
      </c>
      <c r="DE53" s="443" t="b" cm="1">
        <f t="array" ref="DE53">IFERROR(AND(Y$12,IF(AND($G53,$D53="COI"),
IF(AND(teacher_type="R",career_stage="P"),VLOOKUP($BF53,RPI[],COLUMN(RPI[cot4]),FALSE),
IF(AND(teacher_type="R",career_stage="HP"),VLOOKUP($BF53,RHPI[],COLUMN(RHPI[cot4]),FALSE),
IF(AND(teacher_type="TB",career_stage="P"),VLOOKUP($BF53,TBPI[],COLUMN(TBPI[cot4]),FALSE),
IF(AND(teacher_type="TB",career_stage="HP"),VLOOKUP($BF53,TBHPI[],COLUMN(TBHPI[cot4]),FALSE),FALSE)))),
FALSE)),FALSE)</f>
        <v>0</v>
      </c>
      <c r="DF53" s="443" t="b">
        <f t="shared" si="33"/>
        <v>0</v>
      </c>
      <c r="DG53" s="150">
        <f t="shared" si="34"/>
        <v>0</v>
      </c>
      <c r="DH53" s="154">
        <f>IF(AND(CY53,LOWER(TRIM(S$20))=LOWER(TRIM(data2!$U$35))),1,0) +
IF(AND(DA53,LOWER(TRIM(U$20))=LOWER(TRIM(data2!$U$35))),1,0) +
IF(AND(DC53,LOWER(TRIM(W$20))=LOWER(TRIM(data2!$U$35))),1,0) +
IF(AND(DE53,LOWER(TRIM(Y$20))=LOWER(TRIM(data2!$U$35))),1,0)</f>
        <v>0</v>
      </c>
      <c r="DJ53" s="154">
        <f t="shared" si="35"/>
        <v>0</v>
      </c>
    </row>
    <row r="54" spans="1:114" s="154" customFormat="1" ht="24.95" hidden="1" customHeight="1" x14ac:dyDescent="0.25">
      <c r="A54" s="156"/>
      <c r="B54" s="154">
        <v>33</v>
      </c>
      <c r="C54" s="150" t="str">
        <f>IFERROR(IF(AND(teacher_type="R",career_stage="P"),VLOOKUP(O54,RPI[],COLUMNS(RPI[[Strand]:[admin_selected_coi_ncoi]]),FALSE),IF(AND(teacher_type="R",career_stage="HP"),VLOOKUP(O54,RHPI[],COLUMNS(RHPI[[Strand]:[admin_selected_coi_ncoi]]),FALSE),IF(AND(teacher_type="TB",career_stage="P"),VLOOKUP(O54,TBPI[],COLUMNS(TBPI[[Strand]:[admin_selected_coi_ncoi]]),FALSE),IF(AND(teacher_type="TB",career_stage="HP"),VLOOKUP(O54,TBHPI[],COLUMNS(TBHPI[[Strand]:[admin_selected_coi_ncoi]]),FALSE),"NCOI")))),"NCOI")</f>
        <v>NCOI</v>
      </c>
      <c r="D54" s="150" t="str">
        <f t="shared" si="10"/>
        <v/>
      </c>
      <c r="E54" s="150">
        <f>IFERROR(IF(AND(teacher_type="R",career_stage="P"),VLOOKUP($O54,RPI[[Strand]:[Domain]],COLUMNS(RPI[[Strand]:[Domain]]),FALSE),IF(AND(teacher_type="R",career_stage="HP"),VLOOKUP($O54,RHPI[[Strand]:[Domain]],COLUMNS(RHPI[[Strand]:[Domain]]),FALSE),IF(AND(teacher_type="TB",career_stage="P"),VLOOKUP($O54,TBPI[[Strand]:[Domain]],COLUMNS(TBPI[[Strand]:[Domain]]),FALSE),IF(AND(teacher_type="TB",career_stage="HP"),VLOOKUP($O54,TBHPI[[Strand]:[Domain]],COLUMNS(TBHPI[[Strand]:[Domain]]),FALSE),"")))),"")</f>
        <v>5</v>
      </c>
      <c r="F54" s="155" t="b">
        <f>AND(COUNTIFS($E$22:$E54,E54,$G$22:$G54,TRUE)=1,$G54)</f>
        <v>0</v>
      </c>
      <c r="G54" s="212" t="b">
        <f>IFERROR(IF(AND(teacher_type="R",career_stage="P"),VLOOKUP($O54,RPI[],COLUMNS(RPI[[Strand]:[Selected]]),FALSE),IF(AND(teacher_type="R",career_stage="HP"),VLOOKUP($O54,RHPI[],COLUMNS(RHPI[[Strand]:[Selected]]),FALSE),IF(AND(teacher_type="TB",career_stage="P"),VLOOKUP($O54,TBPI[],COLUMNS(TBPI[[Strand]:[Selected]]),FALSE),IF(AND(teacher_type="TB",career_stage="HP"),VLOOKUP($O54,TBHPI[],COLUMNS(TBHPI[[Strand]:[Selected]]),FALSE),FALSE)))),FALSE)</f>
        <v>0</v>
      </c>
      <c r="H54" s="156" t="b">
        <f>IFERROR(IF(AND(teacher_type="R",career_stage="P"),AND(COUNTIFS(RPS[Strand],$O54,RPS[QET],H$21)&gt;0,$G54),IF(AND(teacher_type="R",career_stage="HP"),AND(COUNTIFS(RHPS[Strand],$O54,RHPS[QET],H$21)&gt;0,$G54),IF(AND(teacher_type="TB",career_stage="P"),AND(COUNTIFS(TBPS[Strand],$O54,TBPS[QET],H$21)&gt;0,$G54),IF(AND(teacher_type="TB",career_stage="HP"),AND(COUNTIFS(TBHPS[Strand],$O54,TBHPS[QET],H$21)&gt;0,$G54),FALSE)))),FALSE)</f>
        <v>0</v>
      </c>
      <c r="I54" s="156" t="b">
        <f t="shared" si="11"/>
        <v>0</v>
      </c>
      <c r="J54" s="156" t="b">
        <f>IFERROR(IF(AND(teacher_type="R",career_stage="P"),AND(COUNTIFS(RPS[Strand],$O54,RPS[QET],J$21)&gt;0,$G54),IF(AND(teacher_type="R",career_stage="HP"),AND(COUNTIFS(RHPS[Strand],$O54,RHPS[QET],J$21)&gt;0,$G54),IF(AND(teacher_type="TB",career_stage="P"),AND(COUNTIFS(TBPS[Strand],$O54,TBPS[QET],J$21)&gt;0,$G54),IF(AND(teacher_type="TB",career_stage="HP"),AND(COUNTIFS(TBHPS[Strand],$O54,TBHPS[QET],J$21)&gt;0,$G54),FALSE)))),FALSE)</f>
        <v>0</v>
      </c>
      <c r="K54" s="156" t="b">
        <f>IFERROR(IF(AND(teacher_type="R",career_stage="P"),AND(COUNTIFS(RPS[Strand],$O54,RPS[QET],K$21)&gt;0,$G54),IF(AND(teacher_type="R",career_stage="HP"),AND(COUNTIFS(RHPS[Strand],$O54,RHPS[QET],K$21)&gt;0,$G54),IF(AND(teacher_type="TB",career_stage="P"),AND(COUNTIFS(TBPS[Strand],$O54,TBPS[QET],K$21)&gt;0,$G54),IF(AND(teacher_type="TB",career_stage="HP"),AND(COUNTIFS(TBHPS[Strand],$O54,TBHPS[QET],K$21)&gt;0,$G54),FALSE)))),FALSE)</f>
        <v>0</v>
      </c>
      <c r="L54" s="156" t="b">
        <f t="shared" si="12"/>
        <v>0</v>
      </c>
      <c r="M54" s="165" t="str">
        <f t="shared" si="13"/>
        <v/>
      </c>
      <c r="N54" s="48" t="str">
        <f>IF($G54,COUNTIF($G$22:$G54,TRUE),"")</f>
        <v/>
      </c>
      <c r="O54" s="48" t="str" cm="1">
        <f t="array" ref="O54">IFERROR(IF(AND(teacher_type="R",career_stage="P"),INDEX(RPI[Strand],$B54),IF(AND(teacher_type="R",career_stage="HP"),INDEX(RHPI[Strand],$B54),IF(AND(teacher_type="TB",career_stage="P"),INDEX(TBPI[Strand],$B54),IF(AND(teacher_type="TB",career_stage="HP"),INDEX(TBHPI[Strand],$B54),"")))),"")</f>
        <v>7.1.2</v>
      </c>
      <c r="P54" s="166" t="str">
        <f>$C$54</f>
        <v>NCOI</v>
      </c>
      <c r="Q54" s="173">
        <f>IFERROR(IF(AND(teacher_type="R",career_stage="P"),VLOOKUP(O54,RPI[],COLUMNS(RPI[[Strand]:[Weight]]),FALSE), IF(AND(teacher_type="R",career_stage="HP"),VLOOKUP(O54,RHPI[],COLUMNS(RHPI[[Strand]:[Weight]]),FALSE), IF(AND(teacher_type="TB",career_stage="P"),VLOOKUP(O54,TBPI[],COLUMNS(TBPI[[Strand]:[Weight]]),FALSE), IF(AND(teacher_type="TB",career_stage="HP"),VLOOKUP(O54,TBHPI[],COLUMNS(TBHPI[[Strand]:[Weight]]),FALSE),0)))),0)</f>
        <v>0</v>
      </c>
      <c r="R54" s="174">
        <f>COUNTIFS($D$22:D54,"COI",$G$22:G54,TRUE)</f>
        <v>9</v>
      </c>
      <c r="S54" s="484"/>
      <c r="T54" s="175" t="str">
        <f>IFERROR(IF(LOWER(TRIM(S$20))=LOWER(TRIM(data2!$U$35)),"",IF(AND($G54,$D54="COI",S$12,CZ54),IF(OR(LOWER(TRIM(S$20))=LOWER(TRIM(data2!$U$36)),ISBLANK(S54)),1,IF(career_stage="P",VLOOKUP(S54,P_COT_vlookup,2,FALSE),IF(career_stage="HP",VLOOKUP(S54,HP_COT_vlookup,2,FALSE),""))),"")),"")</f>
        <v/>
      </c>
      <c r="U54" s="471"/>
      <c r="V54" s="176" t="str">
        <f>IFERROR(IF(LOWER(TRIM(U$20))=LOWER(TRIM(data2!$U$35)),"",IF(AND($G54,$D54="COI",U$12,DB54),IF(OR(LOWER(TRIM(U$20))=LOWER(TRIM(data2!$U$36)),ISBLANK(U54)),1,IF(career_stage="P",VLOOKUP(U54,P_COT_vlookup,2,FALSE),IF(career_stage="HP",VLOOKUP(U54,HP_COT_vlookup,2,FALSE),""))),"")),"")</f>
        <v/>
      </c>
      <c r="W54" s="484"/>
      <c r="X54" s="175" t="str">
        <f>IFERROR(IF(LOWER(TRIM(W$20))=LOWER(TRIM(data2!$U$35)),"",IF(AND($G54,$D54="COI",W$12,DD54),IF(OR(LOWER(TRIM(W$20))=LOWER(TRIM(data2!$U$36)),ISBLANK(W54)),1,IF(career_stage="P",VLOOKUP(W54,P_COT_vlookup,2,FALSE),IF(career_stage="HP",VLOOKUP(W54,HP_COT_vlookup,2,FALSE),""))),"")),"")</f>
        <v/>
      </c>
      <c r="Y54" s="471"/>
      <c r="Z54" s="176" t="str">
        <f>IFERROR(IF(LOWER(TRIM(Y$20))=LOWER(TRIM(data2!$U$35)),"",IF(AND($G54,$D54="COI",Y$12,DF54),IF(OR(LOWER(TRIM(Y$20))=LOWER(TRIM(data2!$U$36)),ISBLANK(Y54)),1,IF(career_stage="P",VLOOKUP(Y54,P_COT_vlookup,2,FALSE),IF(career_stage="HP",VLOOKUP(Y54,HP_COT_vlookup,2,FALSE),""))),"")),"")</f>
        <v/>
      </c>
      <c r="AA54" s="171">
        <f t="shared" si="14"/>
        <v>0</v>
      </c>
      <c r="AB54" s="471"/>
      <c r="AC54" s="474"/>
      <c r="AD54" s="473"/>
      <c r="AE54" s="49">
        <f t="shared" si="2"/>
        <v>0</v>
      </c>
      <c r="AF54" s="49">
        <f t="shared" si="3"/>
        <v>0</v>
      </c>
      <c r="AG54" s="172" t="str">
        <f t="shared" si="4"/>
        <v>Poor</v>
      </c>
      <c r="AI54" s="196" t="b">
        <f t="shared" si="5"/>
        <v>1</v>
      </c>
      <c r="AJ54" s="154" t="b">
        <v>1</v>
      </c>
      <c r="AK54" s="154" t="b">
        <v>1</v>
      </c>
      <c r="AL54" s="196" t="b">
        <f t="shared" si="15"/>
        <v>1</v>
      </c>
      <c r="AM54" s="154" t="b">
        <v>1</v>
      </c>
      <c r="AN54" s="196" t="b">
        <f t="shared" si="15"/>
        <v>1</v>
      </c>
      <c r="AO54" s="154" t="b">
        <v>1</v>
      </c>
      <c r="AP54" s="196" t="b">
        <f t="shared" si="15"/>
        <v>1</v>
      </c>
      <c r="AQ54" s="154" t="b">
        <v>1</v>
      </c>
      <c r="AR54" s="196" t="b">
        <f t="shared" si="15"/>
        <v>1</v>
      </c>
      <c r="AS54" s="154" t="b">
        <v>1</v>
      </c>
      <c r="AT54" s="154" t="b">
        <v>1</v>
      </c>
      <c r="AU54" s="196" t="b">
        <f t="shared" si="6"/>
        <v>1</v>
      </c>
      <c r="AV54" s="196" t="b">
        <f t="shared" si="7"/>
        <v>1</v>
      </c>
      <c r="AW54" s="196" t="b">
        <f t="shared" si="8"/>
        <v>1</v>
      </c>
      <c r="AX54" s="47" t="b">
        <v>1</v>
      </c>
      <c r="AY54" s="47" t="b">
        <v>1</v>
      </c>
      <c r="AZ54" s="47" t="b">
        <v>1</v>
      </c>
      <c r="BF54" s="154" t="str">
        <f t="shared" si="9"/>
        <v>7.1.2</v>
      </c>
      <c r="BG54" s="196" t="b" cm="1">
        <f t="array" ref="BG54">IFERROR(IF(OR(LOWER(TRIM(S$20))=LOWER(TRIM(data2!$U$35)),LOWER(TRIM(S$20))=LOWER(TRIM(data2!$U$36))),FALSE,AND(S$12,IF(AND($G54,$D54="COI"),
IF(AND(teacher_type="R",career_stage="P"),VLOOKUP($BF54,RPI[],COLUMN(RPI[cot1]),FALSE),
IF(AND(teacher_type="R",career_stage="HP"),VLOOKUP($BF54,RHPI[],COLUMN(RHPI[cot1]),FALSE),
IF(AND(teacher_type="TB",career_stage="P"),VLOOKUP($BF54,TBPI[],COLUMN(TBPI[cot1]),FALSE),
IF(AND(teacher_type="TB",career_stage="HP"),VLOOKUP($BF54,TBHPI[],COLUMN(TBHPI[cot1]),FALSE),FALSE)))),
FALSE))),FALSE)</f>
        <v>0</v>
      </c>
      <c r="BH54" s="154" t="b">
        <v>0</v>
      </c>
      <c r="BI54" s="196" t="b" cm="1">
        <f t="array" ref="BI54">IFERROR(IF(OR(LOWER(TRIM(U$20))=LOWER(TRIM(data2!$U$35)),LOWER(TRIM(U$20))=LOWER(TRIM(data2!$U$36))),FALSE,AND(U$12,IF(AND($G54,$D54="COI"),
IF(AND(teacher_type="R",career_stage="P"),VLOOKUP($BF54,RPI[],COLUMN(RPI[cot2]),FALSE),
IF(AND(teacher_type="R",career_stage="HP"),VLOOKUP($BF54,RHPI[],COLUMN(RHPI[cot2]),FALSE),
IF(AND(teacher_type="TB",career_stage="P"),VLOOKUP($BF54,TBPI[],COLUMN(TBPI[cot2]),FALSE),
IF(AND(teacher_type="TB",career_stage="HP"),VLOOKUP($BF54,TBHPI[],COLUMN(TBHPI[cot2]),FALSE),FALSE)))),
FALSE))),FALSE)</f>
        <v>0</v>
      </c>
      <c r="BJ54" s="154" t="b">
        <v>0</v>
      </c>
      <c r="BK54" s="196" t="b" cm="1">
        <f t="array" ref="BK54">IFERROR(IF(OR(LOWER(TRIM(W$20))=LOWER(TRIM(data2!$U$35)),LOWER(TRIM(W$20))=LOWER(TRIM(data2!$U$36))),FALSE,AND(W$12,IF(AND($G54,$D54="COI"),
IF(AND(teacher_type="R",career_stage="P"),VLOOKUP($BF54,RPI[],COLUMN(RPI[cot3]),FALSE),
IF(AND(teacher_type="R",career_stage="HP"),VLOOKUP($BF54,RHPI[],COLUMN(RHPI[cot3]),FALSE),
IF(AND(teacher_type="TB",career_stage="P"),VLOOKUP($BF54,TBPI[],COLUMN(TBPI[cot3]),FALSE),
IF(AND(teacher_type="TB",career_stage="HP"),VLOOKUP($BF54,TBHPI[],COLUMN(TBHPI[cot3]),FALSE),FALSE)))),
FALSE))),FALSE)</f>
        <v>0</v>
      </c>
      <c r="BL54" s="154" t="b">
        <v>0</v>
      </c>
      <c r="BM54" s="196" t="b" cm="1">
        <f t="array" ref="BM54">IFERROR(IF(OR(LOWER(TRIM(Y$20))=LOWER(TRIM(data2!$U$35)),LOWER(TRIM(Y$20))=LOWER(TRIM(data2!$U$36))),FALSE,AND(Y$12,IF(AND($G54,$D54="COI"),
IF(AND(teacher_type="R",career_stage="P"),VLOOKUP($BF54,RPI[],COLUMN(RPI[cot4]),FALSE),
IF(AND(teacher_type="R",career_stage="HP"),VLOOKUP($BF54,RHPI[],COLUMN(RHPI[cot4]),FALSE),
IF(AND(teacher_type="TB",career_stage="P"),VLOOKUP($BF54,TBPI[],COLUMN(TBPI[cot4]),FALSE),
IF(AND(teacher_type="TB",career_stage="HP"),VLOOKUP($BF54,TBHPI[],COLUMN(TBHPI[cot4]),FALSE),FALSE)))),
FALSE))),FALSE)</f>
        <v>0</v>
      </c>
      <c r="BN54" s="154" t="b">
        <v>0</v>
      </c>
      <c r="BO54" s="150">
        <f t="shared" si="16"/>
        <v>0</v>
      </c>
      <c r="BP54" s="196" t="b">
        <f t="shared" si="17"/>
        <v>0</v>
      </c>
      <c r="BQ54" s="196" t="b">
        <f>IFERROR(IF(OR(NOT(CZ54),LOWER(TRIM(S$20))=LOWER(TRIM(data2!$U$35))),TRUE,IF(AND(CZ54,LOWER(TRIM(S$20))=LOWER(TRIM(data2!$U$36))),FALSE)),FALSE)</f>
        <v>1</v>
      </c>
      <c r="BR54" s="196" t="b">
        <f t="shared" si="18"/>
        <v>0</v>
      </c>
      <c r="BS54" s="196" t="b">
        <f>IFERROR(IF(OR(NOT(DB54),LOWER(TRIM(U$20))=LOWER(TRIM(data2!$U$35))),TRUE,IF(AND(DB54,LOWER(TRIM(U$20))=LOWER(TRIM(data2!$U$36))),FALSE)),FALSE)</f>
        <v>1</v>
      </c>
      <c r="BT54" s="196" t="b">
        <f t="shared" si="19"/>
        <v>0</v>
      </c>
      <c r="BU54" s="196" t="b">
        <f>IFERROR(IF(OR(NOT(DD54),LOWER(TRIM(W$20))=LOWER(TRIM(data2!$U$35))),TRUE,IF(AND(DD54,LOWER(TRIM(W$20))=LOWER(TRIM(data2!$U$36))),FALSE)),FALSE)</f>
        <v>1</v>
      </c>
      <c r="BV54" s="196" t="b">
        <f t="shared" si="20"/>
        <v>0</v>
      </c>
      <c r="BW54" s="196" t="b">
        <f>IFERROR(IF(OR(NOT(DF54),LOWER(TRIM(Y$20))=LOWER(TRIM(data2!$U$35))),TRUE,IF(AND(DF54,LOWER(TRIM(Y$20))=LOWER(TRIM(data2!$U$36))),FALSE)),FALSE)</f>
        <v>1</v>
      </c>
      <c r="BY54" s="154" t="str">
        <f t="shared" si="21"/>
        <v/>
      </c>
      <c r="BZ54" s="154" t="str">
        <f t="shared" si="22"/>
        <v/>
      </c>
      <c r="CA54" s="154" t="str">
        <f t="shared" si="23"/>
        <v/>
      </c>
      <c r="CB54" s="154" t="str">
        <f t="shared" si="24"/>
        <v>CE54:CI54</v>
      </c>
      <c r="CC54" s="154" t="str">
        <f t="shared" si="25"/>
        <v>CK54:CO54</v>
      </c>
      <c r="CD54" s="154" t="str">
        <f t="shared" si="26"/>
        <v>CQ54:CU54</v>
      </c>
      <c r="CE54" s="359" cm="1">
        <f t="array" ref="CE54">IFERROR(IF($BY54&lt;&gt;"",
IF(AND(teacher_type="R",career_stage="P"),
    IF(INDEX(RPS[[Outstanding]:[Poor]],MATCH($BY54,RPS[[helper]:[helper]],0),CE$19)&lt;&gt;"",CE$20,""),
IF(AND(teacher_type="R",career_stage="HP"),
    IF(INDEX(RHPS[[Outstanding]:[Poor]],MATCH($BY54,RHPS[[helper]:[helper]],0),CE$19)&lt;&gt;"",CE$20,""),
IF(AND(teacher_type="TB",career_stage="P"),
    IF(INDEX(TBPS[[Outstanding]:[Poor]],MATCH($BY54,TBPS[[helper]:[helper]],0),CE$19)&lt;&gt;"",CE$20,""),
IF(AND(teacher_type="TB",career_stage="HP"),
    IF(INDEX(TBHPS[[Outstanding]:[Poor]],MATCH($BY54,TBHPS[[helper]:[helper]],0),CE$19)&lt;&gt;"",CE$20,""),
CE$20)))),
CE$20),CE$20)</f>
        <v>5</v>
      </c>
      <c r="CF54" s="359" cm="1">
        <f t="array" ref="CF54">IFERROR(IF($BY54&lt;&gt;"",
IF(AND(teacher_type="R",career_stage="P"),
    IF(INDEX(RPS[[Outstanding]:[Poor]],MATCH($BY54,RPS[[helper]:[helper]],0),CF$19)&lt;&gt;"",CF$20,""),
IF(AND(teacher_type="R",career_stage="HP"),
    IF(INDEX(RHPS[[Outstanding]:[Poor]],MATCH($BY54,RHPS[[helper]:[helper]],0),CF$19)&lt;&gt;"",CF$20,""),
IF(AND(teacher_type="TB",career_stage="P"),
    IF(INDEX(TBPS[[Outstanding]:[Poor]],MATCH($BY54,TBPS[[helper]:[helper]],0),CF$19)&lt;&gt;"",CF$20,""),
IF(AND(teacher_type="TB",career_stage="HP"),
    IF(INDEX(TBHPS[[Outstanding]:[Poor]],MATCH($BY54,TBHPS[[helper]:[helper]],0),CF$19)&lt;&gt;"",CF$20,""),
CF$20)))),
CF$20),CF$20)</f>
        <v>4</v>
      </c>
      <c r="CG54" s="359" cm="1">
        <f t="array" ref="CG54">IFERROR(IF($BY54&lt;&gt;"",
IF(AND(teacher_type="R",career_stage="P"),
    IF(INDEX(RPS[[Outstanding]:[Poor]],MATCH($BY54,RPS[[helper]:[helper]],0),CG$19)&lt;&gt;"",CG$20,""),
IF(AND(teacher_type="R",career_stage="HP"),
    IF(INDEX(RHPS[[Outstanding]:[Poor]],MATCH($BY54,RHPS[[helper]:[helper]],0),CG$19)&lt;&gt;"",CG$20,""),
IF(AND(teacher_type="TB",career_stage="P"),
    IF(INDEX(TBPS[[Outstanding]:[Poor]],MATCH($BY54,TBPS[[helper]:[helper]],0),CG$19)&lt;&gt;"",CG$20,""),
IF(AND(teacher_type="TB",career_stage="HP"),
    IF(INDEX(TBHPS[[Outstanding]:[Poor]],MATCH($BY54,TBHPS[[helper]:[helper]],0),CG$19)&lt;&gt;"",CG$20,""),
CG$20)))),
CG$20),CG$20)</f>
        <v>3</v>
      </c>
      <c r="CH54" s="359" cm="1">
        <f t="array" ref="CH54">IFERROR(IF($BY54&lt;&gt;"",
IF(AND(teacher_type="R",career_stage="P"),
    IF(INDEX(RPS[[Outstanding]:[Poor]],MATCH($BY54,RPS[[helper]:[helper]],0),CH$19)&lt;&gt;"",CH$20,""),
IF(AND(teacher_type="R",career_stage="HP"),
    IF(INDEX(RHPS[[Outstanding]:[Poor]],MATCH($BY54,RHPS[[helper]:[helper]],0),CH$19)&lt;&gt;"",CH$20,""),
IF(AND(teacher_type="TB",career_stage="P"),
    IF(INDEX(TBPS[[Outstanding]:[Poor]],MATCH($BY54,TBPS[[helper]:[helper]],0),CH$19)&lt;&gt;"",CH$20,""),
IF(AND(teacher_type="TB",career_stage="HP"),
    IF(INDEX(TBHPS[[Outstanding]:[Poor]],MATCH($BY54,TBHPS[[helper]:[helper]],0),CH$19)&lt;&gt;"",CH$20,""),
CH$20)))),
CH$20),CH$20)</f>
        <v>2</v>
      </c>
      <c r="CI54" s="359" cm="1">
        <f t="array" ref="CI54">IFERROR(IF($BY54&lt;&gt;"",
IF(AND(teacher_type="R",career_stage="P"),
    IF(INDEX(RPS[[Outstanding]:[Poor]],MATCH($BY54,RPS[[helper]:[helper]],0),CI$19)&lt;&gt;"",CI$20,""),
IF(AND(teacher_type="R",career_stage="HP"),
    IF(INDEX(RHPS[[Outstanding]:[Poor]],MATCH($BY54,RHPS[[helper]:[helper]],0),CI$19)&lt;&gt;"",CI$20,""),
IF(AND(teacher_type="TB",career_stage="P"),
    IF(INDEX(TBPS[[Outstanding]:[Poor]],MATCH($BY54,TBPS[[helper]:[helper]],0),CI$19)&lt;&gt;"",CI$20,""),
IF(AND(teacher_type="TB",career_stage="HP"),
    IF(INDEX(TBHPS[[Outstanding]:[Poor]],MATCH($BY54,TBHPS[[helper]:[helper]],0),CI$19)&lt;&gt;"",CI$20,""),
CI$20)))),
CI$20),CI$20)</f>
        <v>1</v>
      </c>
      <c r="CJ54" s="360">
        <f t="shared" si="27"/>
        <v>5</v>
      </c>
      <c r="CK54" s="359" cm="1">
        <f t="array" ref="CK54">IFERROR(IF($BZ54&lt;&gt;"",
IF(AND(teacher_type="R",career_stage="P"),
    IF(INDEX(RPS[[Outstanding]:[Poor]],MATCH($BZ54,RPS[[helper]:[helper]],0),CK$19)&lt;&gt;"",CK$20,""),
IF(AND(teacher_type="R",career_stage="HP"),
    IF(INDEX(RHPS[[Outstanding]:[Poor]],MATCH($BZ54,RHPS[[helper]:[helper]],0),CK$19)&lt;&gt;"",CK$20,""),
IF(AND(teacher_type="TB",career_stage="P"),
    IF(INDEX(TBPS[[Outstanding]:[Poor]],MATCH($BZ54,TBPS[[helper]:[helper]],0),CK$19)&lt;&gt;"",CK$20,""),
IF(AND(teacher_type="TB",career_stage="HP"),
    IF(INDEX(TBHPS[[Outstanding]:[Poor]],MATCH($BZ54,TBHPS[[helper]:[helper]],0),CK$19)&lt;&gt;"",CK$20,""),
CK$20)))),
CK$20),CK$20)</f>
        <v>5</v>
      </c>
      <c r="CL54" s="359" cm="1">
        <f t="array" ref="CL54">IFERROR(IF($BZ54&lt;&gt;"",
IF(AND(teacher_type="R",career_stage="P"),
    IF(INDEX(RPS[[Outstanding]:[Poor]],MATCH($BZ54,RPS[[helper]:[helper]],0),CL$19)&lt;&gt;"",CL$20,""),
IF(AND(teacher_type="R",career_stage="HP"),
    IF(INDEX(RHPS[[Outstanding]:[Poor]],MATCH($BZ54,RHPS[[helper]:[helper]],0),CL$19)&lt;&gt;"",CL$20,""),
IF(AND(teacher_type="TB",career_stage="P"),
    IF(INDEX(TBPS[[Outstanding]:[Poor]],MATCH($BZ54,TBPS[[helper]:[helper]],0),CL$19)&lt;&gt;"",CL$20,""),
IF(AND(teacher_type="TB",career_stage="HP"),
    IF(INDEX(TBHPS[[Outstanding]:[Poor]],MATCH($BZ54,TBHPS[[helper]:[helper]],0),CL$19)&lt;&gt;"",CL$20,""),
CL$20)))),
CL$20),CL$20)</f>
        <v>4</v>
      </c>
      <c r="CM54" s="359" cm="1">
        <f t="array" ref="CM54">IFERROR(IF($BZ54&lt;&gt;"",
IF(AND(teacher_type="R",career_stage="P"),
    IF(INDEX(RPS[[Outstanding]:[Poor]],MATCH($BZ54,RPS[[helper]:[helper]],0),CM$19)&lt;&gt;"",CM$20,""),
IF(AND(teacher_type="R",career_stage="HP"),
    IF(INDEX(RHPS[[Outstanding]:[Poor]],MATCH($BZ54,RHPS[[helper]:[helper]],0),CM$19)&lt;&gt;"",CM$20,""),
IF(AND(teacher_type="TB",career_stage="P"),
    IF(INDEX(TBPS[[Outstanding]:[Poor]],MATCH($BZ54,TBPS[[helper]:[helper]],0),CM$19)&lt;&gt;"",CM$20,""),
IF(AND(teacher_type="TB",career_stage="HP"),
    IF(INDEX(TBHPS[[Outstanding]:[Poor]],MATCH($BZ54,TBHPS[[helper]:[helper]],0),CM$19)&lt;&gt;"",CM$20,""),
CM$20)))),
CM$20),CM$20)</f>
        <v>3</v>
      </c>
      <c r="CN54" s="359" cm="1">
        <f t="array" ref="CN54">IFERROR(IF($BZ54&lt;&gt;"",
IF(AND(teacher_type="R",career_stage="P"),
    IF(INDEX(RPS[[Outstanding]:[Poor]],MATCH($BZ54,RPS[[helper]:[helper]],0),CN$19)&lt;&gt;"",CN$20,""),
IF(AND(teacher_type="R",career_stage="HP"),
    IF(INDEX(RHPS[[Outstanding]:[Poor]],MATCH($BZ54,RHPS[[helper]:[helper]],0),CN$19)&lt;&gt;"",CN$20,""),
IF(AND(teacher_type="TB",career_stage="P"),
    IF(INDEX(TBPS[[Outstanding]:[Poor]],MATCH($BZ54,TBPS[[helper]:[helper]],0),CN$19)&lt;&gt;"",CN$20,""),
IF(AND(teacher_type="TB",career_stage="HP"),
    IF(INDEX(TBHPS[[Outstanding]:[Poor]],MATCH($BZ54,TBHPS[[helper]:[helper]],0),CN$19)&lt;&gt;"",CN$20,""),
CN$20)))),
CN$20),CN$20)</f>
        <v>2</v>
      </c>
      <c r="CO54" s="359" cm="1">
        <f t="array" ref="CO54">IFERROR(IF($BZ54&lt;&gt;"",
IF(AND(teacher_type="R",career_stage="P"),
    IF(INDEX(RPS[[Outstanding]:[Poor]],MATCH($BZ54,RPS[[helper]:[helper]],0),CO$19)&lt;&gt;"",CO$20,""),
IF(AND(teacher_type="R",career_stage="HP"),
    IF(INDEX(RHPS[[Outstanding]:[Poor]],MATCH($BZ54,RHPS[[helper]:[helper]],0),CO$19)&lt;&gt;"",CO$20,""),
IF(AND(teacher_type="TB",career_stage="P"),
    IF(INDEX(TBPS[[Outstanding]:[Poor]],MATCH($BZ54,TBPS[[helper]:[helper]],0),CO$19)&lt;&gt;"",CO$20,""),
IF(AND(teacher_type="TB",career_stage="HP"),
    IF(INDEX(TBHPS[[Outstanding]:[Poor]],MATCH($BZ54,TBHPS[[helper]:[helper]],0),CO$19)&lt;&gt;"",CO$20,""),
CO$20)))),
CO$20),CO$20)</f>
        <v>1</v>
      </c>
      <c r="CP54" s="360">
        <f t="shared" si="28"/>
        <v>5</v>
      </c>
      <c r="CQ54" s="359" cm="1">
        <f t="array" ref="CQ54">IFERROR(IF($CA54&lt;&gt;"",
IF(AND(teacher_type="R",career_stage="P"),
    IF(INDEX(RPS[[Outstanding]:[Poor]],MATCH($CA54,RPS[[helper]:[helper]],0),CQ$19)&lt;&gt;"",CQ$20,""),
IF(AND(teacher_type="R",career_stage="HP"),
    IF(INDEX(RHPS[[Outstanding]:[Poor]],MATCH($CA54,RHPS[[helper]:[helper]],0),CQ$19)&lt;&gt;"",CQ$20,""),
IF(AND(teacher_type="TB",career_stage="P"),
    IF(INDEX(TBPS[[Outstanding]:[Poor]],MATCH($CA54,TBPS[[helper]:[helper]],0),CQ$19)&lt;&gt;"",CQ$20,""),
IF(AND(teacher_type="TB",career_stage="HP"),
    IF(INDEX(TBHPS[[Outstanding]:[Poor]],MATCH($CA54,TBHPS[[helper]:[helper]],0),CQ$19)&lt;&gt;"",CQ$20,""),
CQ$20)))),
CQ$20),CQ$20)</f>
        <v>5</v>
      </c>
      <c r="CR54" s="359" cm="1">
        <f t="array" ref="CR54">IFERROR(IF($CA54&lt;&gt;"",
IF(AND(teacher_type="R",career_stage="P"),
    IF(INDEX(RPS[[Outstanding]:[Poor]],MATCH($CA54,RPS[[helper]:[helper]],0),CR$19)&lt;&gt;"",CR$20,""),
IF(AND(teacher_type="R",career_stage="HP"),
    IF(INDEX(RHPS[[Outstanding]:[Poor]],MATCH($CA54,RHPS[[helper]:[helper]],0),CR$19)&lt;&gt;"",CR$20,""),
IF(AND(teacher_type="TB",career_stage="P"),
    IF(INDEX(TBPS[[Outstanding]:[Poor]],MATCH($CA54,TBPS[[helper]:[helper]],0),CR$19)&lt;&gt;"",CR$20,""),
IF(AND(teacher_type="TB",career_stage="HP"),
    IF(INDEX(TBHPS[[Outstanding]:[Poor]],MATCH($CA54,TBHPS[[helper]:[helper]],0),CR$19)&lt;&gt;"",CR$20,""),
CR$20)))),
CR$20),CR$20)</f>
        <v>4</v>
      </c>
      <c r="CS54" s="359" cm="1">
        <f t="array" ref="CS54">IFERROR(IF($CA54&lt;&gt;"",
IF(AND(teacher_type="R",career_stage="P"),
    IF(INDEX(RPS[[Outstanding]:[Poor]],MATCH($CA54,RPS[[helper]:[helper]],0),CS$19)&lt;&gt;"",CS$20,""),
IF(AND(teacher_type="R",career_stage="HP"),
    IF(INDEX(RHPS[[Outstanding]:[Poor]],MATCH($CA54,RHPS[[helper]:[helper]],0),CS$19)&lt;&gt;"",CS$20,""),
IF(AND(teacher_type="TB",career_stage="P"),
    IF(INDEX(TBPS[[Outstanding]:[Poor]],MATCH($CA54,TBPS[[helper]:[helper]],0),CS$19)&lt;&gt;"",CS$20,""),
IF(AND(teacher_type="TB",career_stage="HP"),
    IF(INDEX(TBHPS[[Outstanding]:[Poor]],MATCH($CA54,TBHPS[[helper]:[helper]],0),CS$19)&lt;&gt;"",CS$20,""),
CS$20)))),
CS$20),CS$20)</f>
        <v>3</v>
      </c>
      <c r="CT54" s="359" cm="1">
        <f t="array" ref="CT54">IFERROR(IF($CA54&lt;&gt;"",
IF(AND(teacher_type="R",career_stage="P"),
    IF(INDEX(RPS[[Outstanding]:[Poor]],MATCH($CA54,RPS[[helper]:[helper]],0),CT$19)&lt;&gt;"",CT$20,""),
IF(AND(teacher_type="R",career_stage="HP"),
    IF(INDEX(RHPS[[Outstanding]:[Poor]],MATCH($CA54,RHPS[[helper]:[helper]],0),CT$19)&lt;&gt;"",CT$20,""),
IF(AND(teacher_type="TB",career_stage="P"),
    IF(INDEX(TBPS[[Outstanding]:[Poor]],MATCH($CA54,TBPS[[helper]:[helper]],0),CT$19)&lt;&gt;"",CT$20,""),
IF(AND(teacher_type="TB",career_stage="HP"),
    IF(INDEX(TBHPS[[Outstanding]:[Poor]],MATCH($CA54,TBHPS[[helper]:[helper]],0),CT$19)&lt;&gt;"",CT$20,""),
CT$20)))),
CT$20),CT$20)</f>
        <v>2</v>
      </c>
      <c r="CU54" s="359" cm="1">
        <f t="array" ref="CU54">IFERROR(IF($CA54&lt;&gt;"",
IF(AND(teacher_type="R",career_stage="P"),
    IF(INDEX(RPS[[Outstanding]:[Poor]],MATCH($CA54,RPS[[helper]:[helper]],0),CU$19)&lt;&gt;"",CU$20,""),
IF(AND(teacher_type="R",career_stage="HP"),
    IF(INDEX(RHPS[[Outstanding]:[Poor]],MATCH($CA54,RHPS[[helper]:[helper]],0),CU$19)&lt;&gt;"",CU$20,""),
IF(AND(teacher_type="TB",career_stage="P"),
    IF(INDEX(TBPS[[Outstanding]:[Poor]],MATCH($CA54,TBPS[[helper]:[helper]],0),CU$19)&lt;&gt;"",CU$20,""),
IF(AND(teacher_type="TB",career_stage="HP"),
    IF(INDEX(TBHPS[[Outstanding]:[Poor]],MATCH($CA54,TBHPS[[helper]:[helper]],0),CU$19)&lt;&gt;"",CU$20,""),
CU$20)))),
CU$20),CU$20)</f>
        <v>1</v>
      </c>
      <c r="CV54" s="360">
        <f t="shared" si="29"/>
        <v>5</v>
      </c>
      <c r="CY54" s="443" t="b" cm="1">
        <f t="array" ref="CY54">IFERROR(AND(S$12,IF(AND($G54,$D54="COI"),
IF(AND(teacher_type="R",career_stage="P"),VLOOKUP($BF54,RPI[],COLUMN(RPI[cot1]),FALSE),
IF(AND(teacher_type="R",career_stage="HP"),VLOOKUP($BF54,RHPI[],COLUMN(RHPI[cot1]),FALSE),
IF(AND(teacher_type="TB",career_stage="P"),VLOOKUP($BF54,TBPI[],COLUMN(TBPI[cot1]),FALSE),
IF(AND(teacher_type="TB",career_stage="HP"),VLOOKUP($BF54,TBHPI[],COLUMN(TBHPI[cot1]),FALSE),FALSE)))),
FALSE)),FALSE)</f>
        <v>0</v>
      </c>
      <c r="CZ54" s="443" t="b">
        <f t="shared" si="30"/>
        <v>0</v>
      </c>
      <c r="DA54" s="443" t="b" cm="1">
        <f t="array" ref="DA54">IFERROR(AND(U$12,IF(AND($G54,$D54="COI"),
IF(AND(teacher_type="R",career_stage="P"),VLOOKUP($BF54,RPI[],COLUMN(RPI[cot2]),FALSE),
IF(AND(teacher_type="R",career_stage="HP"),VLOOKUP($BF54,RHPI[],COLUMN(RHPI[cot2]),FALSE),
IF(AND(teacher_type="TB",career_stage="P"),VLOOKUP($BF54,TBPI[],COLUMN(TBPI[cot2]),FALSE),
IF(AND(teacher_type="TB",career_stage="HP"),VLOOKUP($BF54,TBHPI[],COLUMN(TBHPI[cot2]),FALSE),FALSE)))),
FALSE)),FALSE)</f>
        <v>0</v>
      </c>
      <c r="DB54" s="443" t="b">
        <f t="shared" si="31"/>
        <v>0</v>
      </c>
      <c r="DC54" s="443" t="b" cm="1">
        <f t="array" ref="DC54">IFERROR(AND(W$12,IF(AND($G54,$D54="COI"),
IF(AND(teacher_type="R",career_stage="P"),VLOOKUP($BF54,RPI[],COLUMN(RPI[cot3]),FALSE),
IF(AND(teacher_type="R",career_stage="HP"),VLOOKUP($BF54,RHPI[],COLUMN(RHPI[cot3]),FALSE),
IF(AND(teacher_type="TB",career_stage="P"),VLOOKUP($BF54,TBPI[],COLUMN(TBPI[cot3]),FALSE),
IF(AND(teacher_type="TB",career_stage="HP"),VLOOKUP($BF54,TBHPI[],COLUMN(TBHPI[cot3]),FALSE),FALSE)))),
FALSE)),FALSE)</f>
        <v>0</v>
      </c>
      <c r="DD54" s="443" t="b">
        <f t="shared" si="32"/>
        <v>0</v>
      </c>
      <c r="DE54" s="443" t="b" cm="1">
        <f t="array" ref="DE54">IFERROR(AND(Y$12,IF(AND($G54,$D54="COI"),
IF(AND(teacher_type="R",career_stage="P"),VLOOKUP($BF54,RPI[],COLUMN(RPI[cot4]),FALSE),
IF(AND(teacher_type="R",career_stage="HP"),VLOOKUP($BF54,RHPI[],COLUMN(RHPI[cot4]),FALSE),
IF(AND(teacher_type="TB",career_stage="P"),VLOOKUP($BF54,TBPI[],COLUMN(TBPI[cot4]),FALSE),
IF(AND(teacher_type="TB",career_stage="HP"),VLOOKUP($BF54,TBHPI[],COLUMN(TBHPI[cot4]),FALSE),FALSE)))),
FALSE)),FALSE)</f>
        <v>0</v>
      </c>
      <c r="DF54" s="443" t="b">
        <f t="shared" si="33"/>
        <v>0</v>
      </c>
      <c r="DG54" s="150">
        <f t="shared" si="34"/>
        <v>0</v>
      </c>
      <c r="DH54" s="154">
        <f>IF(AND(CY54,LOWER(TRIM(S$20))=LOWER(TRIM(data2!$U$35))),1,0) +
IF(AND(DA54,LOWER(TRIM(U$20))=LOWER(TRIM(data2!$U$35))),1,0) +
IF(AND(DC54,LOWER(TRIM(W$20))=LOWER(TRIM(data2!$U$35))),1,0) +
IF(AND(DE54,LOWER(TRIM(Y$20))=LOWER(TRIM(data2!$U$35))),1,0)</f>
        <v>0</v>
      </c>
      <c r="DJ54" s="154">
        <f t="shared" si="35"/>
        <v>0</v>
      </c>
    </row>
    <row r="55" spans="1:114" s="154" customFormat="1" ht="24.95" hidden="1" customHeight="1" x14ac:dyDescent="0.25">
      <c r="A55" s="156"/>
      <c r="B55" s="154">
        <v>34</v>
      </c>
      <c r="C55" s="150" t="str">
        <f>IFERROR(IF(AND(teacher_type="R",career_stage="P"),VLOOKUP(O55,RPI[],COLUMNS(RPI[[Strand]:[admin_selected_coi_ncoi]]),FALSE),IF(AND(teacher_type="R",career_stage="HP"),VLOOKUP(O55,RHPI[],COLUMNS(RHPI[[Strand]:[admin_selected_coi_ncoi]]),FALSE),IF(AND(teacher_type="TB",career_stage="P"),VLOOKUP(O55,TBPI[],COLUMNS(TBPI[[Strand]:[admin_selected_coi_ncoi]]),FALSE),IF(AND(teacher_type="TB",career_stage="HP"),VLOOKUP(O55,TBHPI[],COLUMNS(TBHPI[[Strand]:[admin_selected_coi_ncoi]]),FALSE),"NCOI")))),"NCOI")</f>
        <v>NCOI</v>
      </c>
      <c r="D55" s="150" t="str">
        <f t="shared" si="10"/>
        <v/>
      </c>
      <c r="E55" s="150">
        <f>IFERROR(IF(AND(teacher_type="R",career_stage="P"),VLOOKUP($O55,RPI[[Strand]:[Domain]],COLUMNS(RPI[[Strand]:[Domain]]),FALSE),IF(AND(teacher_type="R",career_stage="HP"),VLOOKUP($O55,RHPI[[Strand]:[Domain]],COLUMNS(RHPI[[Strand]:[Domain]]),FALSE),IF(AND(teacher_type="TB",career_stage="P"),VLOOKUP($O55,TBPI[[Strand]:[Domain]],COLUMNS(TBPI[[Strand]:[Domain]]),FALSE),IF(AND(teacher_type="TB",career_stage="HP"),VLOOKUP($O55,TBHPI[[Strand]:[Domain]],COLUMNS(TBHPI[[Strand]:[Domain]]),FALSE),"")))),"")</f>
        <v>5</v>
      </c>
      <c r="F55" s="155" t="b">
        <f>AND(COUNTIFS($E$22:$E55,E55,$G$22:$G55,TRUE)=1,$G55)</f>
        <v>0</v>
      </c>
      <c r="G55" s="212" t="b">
        <f>IFERROR(IF(AND(teacher_type="R",career_stage="P"),VLOOKUP($O55,RPI[],COLUMNS(RPI[[Strand]:[Selected]]),FALSE),IF(AND(teacher_type="R",career_stage="HP"),VLOOKUP($O55,RHPI[],COLUMNS(RHPI[[Strand]:[Selected]]),FALSE),IF(AND(teacher_type="TB",career_stage="P"),VLOOKUP($O55,TBPI[],COLUMNS(TBPI[[Strand]:[Selected]]),FALSE),IF(AND(teacher_type="TB",career_stage="HP"),VLOOKUP($O55,TBHPI[],COLUMNS(TBHPI[[Strand]:[Selected]]),FALSE),FALSE)))),FALSE)</f>
        <v>0</v>
      </c>
      <c r="H55" s="156" t="b">
        <f>IFERROR(IF(AND(teacher_type="R",career_stage="P"),AND(COUNTIFS(RPS[Strand],$O55,RPS[QET],H$21)&gt;0,$G55),IF(AND(teacher_type="R",career_stage="HP"),AND(COUNTIFS(RHPS[Strand],$O55,RHPS[QET],H$21)&gt;0,$G55),IF(AND(teacher_type="TB",career_stage="P"),AND(COUNTIFS(TBPS[Strand],$O55,TBPS[QET],H$21)&gt;0,$G55),IF(AND(teacher_type="TB",career_stage="HP"),AND(COUNTIFS(TBHPS[Strand],$O55,TBHPS[QET],H$21)&gt;0,$G55),FALSE)))),FALSE)</f>
        <v>0</v>
      </c>
      <c r="I55" s="156" t="b">
        <f t="shared" si="11"/>
        <v>0</v>
      </c>
      <c r="J55" s="156" t="b">
        <f>IFERROR(IF(AND(teacher_type="R",career_stage="P"),AND(COUNTIFS(RPS[Strand],$O55,RPS[QET],J$21)&gt;0,$G55),IF(AND(teacher_type="R",career_stage="HP"),AND(COUNTIFS(RHPS[Strand],$O55,RHPS[QET],J$21)&gt;0,$G55),IF(AND(teacher_type="TB",career_stage="P"),AND(COUNTIFS(TBPS[Strand],$O55,TBPS[QET],J$21)&gt;0,$G55),IF(AND(teacher_type="TB",career_stage="HP"),AND(COUNTIFS(TBHPS[Strand],$O55,TBHPS[QET],J$21)&gt;0,$G55),FALSE)))),FALSE)</f>
        <v>0</v>
      </c>
      <c r="K55" s="156" t="b">
        <f>IFERROR(IF(AND(teacher_type="R",career_stage="P"),AND(COUNTIFS(RPS[Strand],$O55,RPS[QET],K$21)&gt;0,$G55),IF(AND(teacher_type="R",career_stage="HP"),AND(COUNTIFS(RHPS[Strand],$O55,RHPS[QET],K$21)&gt;0,$G55),IF(AND(teacher_type="TB",career_stage="P"),AND(COUNTIFS(TBPS[Strand],$O55,TBPS[QET],K$21)&gt;0,$G55),IF(AND(teacher_type="TB",career_stage="HP"),AND(COUNTIFS(TBHPS[Strand],$O55,TBHPS[QET],K$21)&gt;0,$G55),FALSE)))),FALSE)</f>
        <v>0</v>
      </c>
      <c r="L55" s="156" t="b">
        <f t="shared" si="12"/>
        <v>0</v>
      </c>
      <c r="M55" s="165" t="str">
        <f t="shared" si="13"/>
        <v/>
      </c>
      <c r="N55" s="48" t="str">
        <f>IF($G55,COUNTIF($G$22:$G55,TRUE),"")</f>
        <v/>
      </c>
      <c r="O55" s="48" t="str" cm="1">
        <f t="array" ref="O55">IFERROR(IF(AND(teacher_type="R",career_stage="P"),INDEX(RPI[Strand],$B55),IF(AND(teacher_type="R",career_stage="HP"),INDEX(RHPI[Strand],$B55),IF(AND(teacher_type="TB",career_stage="P"),INDEX(TBPI[Strand],$B55),IF(AND(teacher_type="TB",career_stage="HP"),INDEX(TBHPI[Strand],$B55),"")))),"")</f>
        <v>7.2.2</v>
      </c>
      <c r="P55" s="166" t="str">
        <f>$C$55</f>
        <v>NCOI</v>
      </c>
      <c r="Q55" s="173">
        <f>IFERROR(IF(AND(teacher_type="R",career_stage="P"),VLOOKUP(O55,RPI[],COLUMNS(RPI[[Strand]:[Weight]]),FALSE), IF(AND(teacher_type="R",career_stage="HP"),VLOOKUP(O55,RHPI[],COLUMNS(RHPI[[Strand]:[Weight]]),FALSE), IF(AND(teacher_type="TB",career_stage="P"),VLOOKUP(O55,TBPI[],COLUMNS(TBPI[[Strand]:[Weight]]),FALSE), IF(AND(teacher_type="TB",career_stage="HP"),VLOOKUP(O55,TBHPI[],COLUMNS(TBHPI[[Strand]:[Weight]]),FALSE),0)))),0)</f>
        <v>0</v>
      </c>
      <c r="R55" s="174">
        <f>COUNTIFS($D$22:D55,"COI",$G$22:G55,TRUE)</f>
        <v>9</v>
      </c>
      <c r="S55" s="484"/>
      <c r="T55" s="175" t="str">
        <f>IFERROR(IF(LOWER(TRIM(S$20))=LOWER(TRIM(data2!$U$35)),"",IF(AND($G55,$D55="COI",S$12,CZ55),IF(OR(LOWER(TRIM(S$20))=LOWER(TRIM(data2!$U$36)),ISBLANK(S55)),1,IF(career_stage="P",VLOOKUP(S55,P_COT_vlookup,2,FALSE),IF(career_stage="HP",VLOOKUP(S55,HP_COT_vlookup,2,FALSE),""))),"")),"")</f>
        <v/>
      </c>
      <c r="U55" s="471"/>
      <c r="V55" s="176" t="str">
        <f>IFERROR(IF(LOWER(TRIM(U$20))=LOWER(TRIM(data2!$U$35)),"",IF(AND($G55,$D55="COI",U$12,DB55),IF(OR(LOWER(TRIM(U$20))=LOWER(TRIM(data2!$U$36)),ISBLANK(U55)),1,IF(career_stage="P",VLOOKUP(U55,P_COT_vlookup,2,FALSE),IF(career_stage="HP",VLOOKUP(U55,HP_COT_vlookup,2,FALSE),""))),"")),"")</f>
        <v/>
      </c>
      <c r="W55" s="484"/>
      <c r="X55" s="175" t="str">
        <f>IFERROR(IF(LOWER(TRIM(W$20))=LOWER(TRIM(data2!$U$35)),"",IF(AND($G55,$D55="COI",W$12,DD55),IF(OR(LOWER(TRIM(W$20))=LOWER(TRIM(data2!$U$36)),ISBLANK(W55)),1,IF(career_stage="P",VLOOKUP(W55,P_COT_vlookup,2,FALSE),IF(career_stage="HP",VLOOKUP(W55,HP_COT_vlookup,2,FALSE),""))),"")),"")</f>
        <v/>
      </c>
      <c r="Y55" s="471"/>
      <c r="Z55" s="176" t="str">
        <f>IFERROR(IF(LOWER(TRIM(Y$20))=LOWER(TRIM(data2!$U$35)),"",IF(AND($G55,$D55="COI",Y$12,DF55),IF(OR(LOWER(TRIM(Y$20))=LOWER(TRIM(data2!$U$36)),ISBLANK(Y55)),1,IF(career_stage="P",VLOOKUP(Y55,P_COT_vlookup,2,FALSE),IF(career_stage="HP",VLOOKUP(Y55,HP_COT_vlookup,2,FALSE),""))),"")),"")</f>
        <v/>
      </c>
      <c r="AA55" s="171">
        <f t="shared" si="14"/>
        <v>0</v>
      </c>
      <c r="AB55" s="471"/>
      <c r="AC55" s="474"/>
      <c r="AD55" s="473"/>
      <c r="AE55" s="49">
        <f t="shared" si="2"/>
        <v>0</v>
      </c>
      <c r="AF55" s="49">
        <f t="shared" si="3"/>
        <v>0</v>
      </c>
      <c r="AG55" s="172" t="str">
        <f t="shared" si="4"/>
        <v>Poor</v>
      </c>
      <c r="AI55" s="196" t="b">
        <f t="shared" si="5"/>
        <v>1</v>
      </c>
      <c r="AJ55" s="154" t="b">
        <v>1</v>
      </c>
      <c r="AK55" s="154" t="b">
        <v>1</v>
      </c>
      <c r="AL55" s="196" t="b">
        <f t="shared" si="15"/>
        <v>1</v>
      </c>
      <c r="AM55" s="154" t="b">
        <v>1</v>
      </c>
      <c r="AN55" s="196" t="b">
        <f t="shared" si="15"/>
        <v>1</v>
      </c>
      <c r="AO55" s="154" t="b">
        <v>1</v>
      </c>
      <c r="AP55" s="196" t="b">
        <f t="shared" si="15"/>
        <v>1</v>
      </c>
      <c r="AQ55" s="154" t="b">
        <v>1</v>
      </c>
      <c r="AR55" s="196" t="b">
        <f t="shared" si="15"/>
        <v>1</v>
      </c>
      <c r="AS55" s="154" t="b">
        <v>1</v>
      </c>
      <c r="AT55" s="154" t="b">
        <v>1</v>
      </c>
      <c r="AU55" s="196" t="b">
        <f t="shared" si="6"/>
        <v>1</v>
      </c>
      <c r="AV55" s="196" t="b">
        <f t="shared" si="7"/>
        <v>1</v>
      </c>
      <c r="AW55" s="196" t="b">
        <f t="shared" si="8"/>
        <v>1</v>
      </c>
      <c r="AX55" s="47" t="b">
        <v>1</v>
      </c>
      <c r="AY55" s="47" t="b">
        <v>1</v>
      </c>
      <c r="AZ55" s="47" t="b">
        <v>1</v>
      </c>
      <c r="BF55" s="154" t="str">
        <f t="shared" si="9"/>
        <v>7.2.2</v>
      </c>
      <c r="BG55" s="196" t="b" cm="1">
        <f t="array" ref="BG55">IFERROR(IF(OR(LOWER(TRIM(S$20))=LOWER(TRIM(data2!$U$35)),LOWER(TRIM(S$20))=LOWER(TRIM(data2!$U$36))),FALSE,AND(S$12,IF(AND($G55,$D55="COI"),
IF(AND(teacher_type="R",career_stage="P"),VLOOKUP($BF55,RPI[],COLUMN(RPI[cot1]),FALSE),
IF(AND(teacher_type="R",career_stage="HP"),VLOOKUP($BF55,RHPI[],COLUMN(RHPI[cot1]),FALSE),
IF(AND(teacher_type="TB",career_stage="P"),VLOOKUP($BF55,TBPI[],COLUMN(TBPI[cot1]),FALSE),
IF(AND(teacher_type="TB",career_stage="HP"),VLOOKUP($BF55,TBHPI[],COLUMN(TBHPI[cot1]),FALSE),FALSE)))),
FALSE))),FALSE)</f>
        <v>0</v>
      </c>
      <c r="BH55" s="154" t="b">
        <v>0</v>
      </c>
      <c r="BI55" s="196" t="b" cm="1">
        <f t="array" ref="BI55">IFERROR(IF(OR(LOWER(TRIM(U$20))=LOWER(TRIM(data2!$U$35)),LOWER(TRIM(U$20))=LOWER(TRIM(data2!$U$36))),FALSE,AND(U$12,IF(AND($G55,$D55="COI"),
IF(AND(teacher_type="R",career_stage="P"),VLOOKUP($BF55,RPI[],COLUMN(RPI[cot2]),FALSE),
IF(AND(teacher_type="R",career_stage="HP"),VLOOKUP($BF55,RHPI[],COLUMN(RHPI[cot2]),FALSE),
IF(AND(teacher_type="TB",career_stage="P"),VLOOKUP($BF55,TBPI[],COLUMN(TBPI[cot2]),FALSE),
IF(AND(teacher_type="TB",career_stage="HP"),VLOOKUP($BF55,TBHPI[],COLUMN(TBHPI[cot2]),FALSE),FALSE)))),
FALSE))),FALSE)</f>
        <v>0</v>
      </c>
      <c r="BJ55" s="154" t="b">
        <v>0</v>
      </c>
      <c r="BK55" s="196" t="b" cm="1">
        <f t="array" ref="BK55">IFERROR(IF(OR(LOWER(TRIM(W$20))=LOWER(TRIM(data2!$U$35)),LOWER(TRIM(W$20))=LOWER(TRIM(data2!$U$36))),FALSE,AND(W$12,IF(AND($G55,$D55="COI"),
IF(AND(teacher_type="R",career_stage="P"),VLOOKUP($BF55,RPI[],COLUMN(RPI[cot3]),FALSE),
IF(AND(teacher_type="R",career_stage="HP"),VLOOKUP($BF55,RHPI[],COLUMN(RHPI[cot3]),FALSE),
IF(AND(teacher_type="TB",career_stage="P"),VLOOKUP($BF55,TBPI[],COLUMN(TBPI[cot3]),FALSE),
IF(AND(teacher_type="TB",career_stage="HP"),VLOOKUP($BF55,TBHPI[],COLUMN(TBHPI[cot3]),FALSE),FALSE)))),
FALSE))),FALSE)</f>
        <v>0</v>
      </c>
      <c r="BL55" s="154" t="b">
        <v>0</v>
      </c>
      <c r="BM55" s="196" t="b" cm="1">
        <f t="array" ref="BM55">IFERROR(IF(OR(LOWER(TRIM(Y$20))=LOWER(TRIM(data2!$U$35)),LOWER(TRIM(Y$20))=LOWER(TRIM(data2!$U$36))),FALSE,AND(Y$12,IF(AND($G55,$D55="COI"),
IF(AND(teacher_type="R",career_stage="P"),VLOOKUP($BF55,RPI[],COLUMN(RPI[cot4]),FALSE),
IF(AND(teacher_type="R",career_stage="HP"),VLOOKUP($BF55,RHPI[],COLUMN(RHPI[cot4]),FALSE),
IF(AND(teacher_type="TB",career_stage="P"),VLOOKUP($BF55,TBPI[],COLUMN(TBPI[cot4]),FALSE),
IF(AND(teacher_type="TB",career_stage="HP"),VLOOKUP($BF55,TBHPI[],COLUMN(TBHPI[cot4]),FALSE),FALSE)))),
FALSE))),FALSE)</f>
        <v>0</v>
      </c>
      <c r="BN55" s="154" t="b">
        <v>0</v>
      </c>
      <c r="BO55" s="150">
        <f t="shared" si="16"/>
        <v>0</v>
      </c>
      <c r="BP55" s="196" t="b">
        <f t="shared" si="17"/>
        <v>0</v>
      </c>
      <c r="BQ55" s="196" t="b">
        <f>IFERROR(IF(OR(NOT(CZ55),LOWER(TRIM(S$20))=LOWER(TRIM(data2!$U$35))),TRUE,IF(AND(CZ55,LOWER(TRIM(S$20))=LOWER(TRIM(data2!$U$36))),FALSE)),FALSE)</f>
        <v>1</v>
      </c>
      <c r="BR55" s="196" t="b">
        <f t="shared" si="18"/>
        <v>0</v>
      </c>
      <c r="BS55" s="196" t="b">
        <f>IFERROR(IF(OR(NOT(DB55),LOWER(TRIM(U$20))=LOWER(TRIM(data2!$U$35))),TRUE,IF(AND(DB55,LOWER(TRIM(U$20))=LOWER(TRIM(data2!$U$36))),FALSE)),FALSE)</f>
        <v>1</v>
      </c>
      <c r="BT55" s="196" t="b">
        <f t="shared" si="19"/>
        <v>0</v>
      </c>
      <c r="BU55" s="196" t="b">
        <f>IFERROR(IF(OR(NOT(DD55),LOWER(TRIM(W$20))=LOWER(TRIM(data2!$U$35))),TRUE,IF(AND(DD55,LOWER(TRIM(W$20))=LOWER(TRIM(data2!$U$36))),FALSE)),FALSE)</f>
        <v>1</v>
      </c>
      <c r="BV55" s="196" t="b">
        <f t="shared" si="20"/>
        <v>0</v>
      </c>
      <c r="BW55" s="196" t="b">
        <f>IFERROR(IF(OR(NOT(DF55),LOWER(TRIM(Y$20))=LOWER(TRIM(data2!$U$35))),TRUE,IF(AND(DF55,LOWER(TRIM(Y$20))=LOWER(TRIM(data2!$U$36))),FALSE)),FALSE)</f>
        <v>1</v>
      </c>
      <c r="BY55" s="154" t="str">
        <f t="shared" si="21"/>
        <v/>
      </c>
      <c r="BZ55" s="154" t="str">
        <f t="shared" si="22"/>
        <v/>
      </c>
      <c r="CA55" s="154" t="str">
        <f t="shared" si="23"/>
        <v/>
      </c>
      <c r="CB55" s="154" t="str">
        <f t="shared" si="24"/>
        <v>CE55:CI55</v>
      </c>
      <c r="CC55" s="154" t="str">
        <f t="shared" si="25"/>
        <v>CK55:CO55</v>
      </c>
      <c r="CD55" s="154" t="str">
        <f t="shared" si="26"/>
        <v>CQ55:CU55</v>
      </c>
      <c r="CE55" s="359" cm="1">
        <f t="array" ref="CE55">IFERROR(IF($BY55&lt;&gt;"",
IF(AND(teacher_type="R",career_stage="P"),
    IF(INDEX(RPS[[Outstanding]:[Poor]],MATCH($BY55,RPS[[helper]:[helper]],0),CE$19)&lt;&gt;"",CE$20,""),
IF(AND(teacher_type="R",career_stage="HP"),
    IF(INDEX(RHPS[[Outstanding]:[Poor]],MATCH($BY55,RHPS[[helper]:[helper]],0),CE$19)&lt;&gt;"",CE$20,""),
IF(AND(teacher_type="TB",career_stage="P"),
    IF(INDEX(TBPS[[Outstanding]:[Poor]],MATCH($BY55,TBPS[[helper]:[helper]],0),CE$19)&lt;&gt;"",CE$20,""),
IF(AND(teacher_type="TB",career_stage="HP"),
    IF(INDEX(TBHPS[[Outstanding]:[Poor]],MATCH($BY55,TBHPS[[helper]:[helper]],0),CE$19)&lt;&gt;"",CE$20,""),
CE$20)))),
CE$20),CE$20)</f>
        <v>5</v>
      </c>
      <c r="CF55" s="359" cm="1">
        <f t="array" ref="CF55">IFERROR(IF($BY55&lt;&gt;"",
IF(AND(teacher_type="R",career_stage="P"),
    IF(INDEX(RPS[[Outstanding]:[Poor]],MATCH($BY55,RPS[[helper]:[helper]],0),CF$19)&lt;&gt;"",CF$20,""),
IF(AND(teacher_type="R",career_stage="HP"),
    IF(INDEX(RHPS[[Outstanding]:[Poor]],MATCH($BY55,RHPS[[helper]:[helper]],0),CF$19)&lt;&gt;"",CF$20,""),
IF(AND(teacher_type="TB",career_stage="P"),
    IF(INDEX(TBPS[[Outstanding]:[Poor]],MATCH($BY55,TBPS[[helper]:[helper]],0),CF$19)&lt;&gt;"",CF$20,""),
IF(AND(teacher_type="TB",career_stage="HP"),
    IF(INDEX(TBHPS[[Outstanding]:[Poor]],MATCH($BY55,TBHPS[[helper]:[helper]],0),CF$19)&lt;&gt;"",CF$20,""),
CF$20)))),
CF$20),CF$20)</f>
        <v>4</v>
      </c>
      <c r="CG55" s="359" cm="1">
        <f t="array" ref="CG55">IFERROR(IF($BY55&lt;&gt;"",
IF(AND(teacher_type="R",career_stage="P"),
    IF(INDEX(RPS[[Outstanding]:[Poor]],MATCH($BY55,RPS[[helper]:[helper]],0),CG$19)&lt;&gt;"",CG$20,""),
IF(AND(teacher_type="R",career_stage="HP"),
    IF(INDEX(RHPS[[Outstanding]:[Poor]],MATCH($BY55,RHPS[[helper]:[helper]],0),CG$19)&lt;&gt;"",CG$20,""),
IF(AND(teacher_type="TB",career_stage="P"),
    IF(INDEX(TBPS[[Outstanding]:[Poor]],MATCH($BY55,TBPS[[helper]:[helper]],0),CG$19)&lt;&gt;"",CG$20,""),
IF(AND(teacher_type="TB",career_stage="HP"),
    IF(INDEX(TBHPS[[Outstanding]:[Poor]],MATCH($BY55,TBHPS[[helper]:[helper]],0),CG$19)&lt;&gt;"",CG$20,""),
CG$20)))),
CG$20),CG$20)</f>
        <v>3</v>
      </c>
      <c r="CH55" s="359" cm="1">
        <f t="array" ref="CH55">IFERROR(IF($BY55&lt;&gt;"",
IF(AND(teacher_type="R",career_stage="P"),
    IF(INDEX(RPS[[Outstanding]:[Poor]],MATCH($BY55,RPS[[helper]:[helper]],0),CH$19)&lt;&gt;"",CH$20,""),
IF(AND(teacher_type="R",career_stage="HP"),
    IF(INDEX(RHPS[[Outstanding]:[Poor]],MATCH($BY55,RHPS[[helper]:[helper]],0),CH$19)&lt;&gt;"",CH$20,""),
IF(AND(teacher_type="TB",career_stage="P"),
    IF(INDEX(TBPS[[Outstanding]:[Poor]],MATCH($BY55,TBPS[[helper]:[helper]],0),CH$19)&lt;&gt;"",CH$20,""),
IF(AND(teacher_type="TB",career_stage="HP"),
    IF(INDEX(TBHPS[[Outstanding]:[Poor]],MATCH($BY55,TBHPS[[helper]:[helper]],0),CH$19)&lt;&gt;"",CH$20,""),
CH$20)))),
CH$20),CH$20)</f>
        <v>2</v>
      </c>
      <c r="CI55" s="359" cm="1">
        <f t="array" ref="CI55">IFERROR(IF($BY55&lt;&gt;"",
IF(AND(teacher_type="R",career_stage="P"),
    IF(INDEX(RPS[[Outstanding]:[Poor]],MATCH($BY55,RPS[[helper]:[helper]],0),CI$19)&lt;&gt;"",CI$20,""),
IF(AND(teacher_type="R",career_stage="HP"),
    IF(INDEX(RHPS[[Outstanding]:[Poor]],MATCH($BY55,RHPS[[helper]:[helper]],0),CI$19)&lt;&gt;"",CI$20,""),
IF(AND(teacher_type="TB",career_stage="P"),
    IF(INDEX(TBPS[[Outstanding]:[Poor]],MATCH($BY55,TBPS[[helper]:[helper]],0),CI$19)&lt;&gt;"",CI$20,""),
IF(AND(teacher_type="TB",career_stage="HP"),
    IF(INDEX(TBHPS[[Outstanding]:[Poor]],MATCH($BY55,TBHPS[[helper]:[helper]],0),CI$19)&lt;&gt;"",CI$20,""),
CI$20)))),
CI$20),CI$20)</f>
        <v>1</v>
      </c>
      <c r="CJ55" s="360">
        <f t="shared" si="27"/>
        <v>5</v>
      </c>
      <c r="CK55" s="359" cm="1">
        <f t="array" ref="CK55">IFERROR(IF($BZ55&lt;&gt;"",
IF(AND(teacher_type="R",career_stage="P"),
    IF(INDEX(RPS[[Outstanding]:[Poor]],MATCH($BZ55,RPS[[helper]:[helper]],0),CK$19)&lt;&gt;"",CK$20,""),
IF(AND(teacher_type="R",career_stage="HP"),
    IF(INDEX(RHPS[[Outstanding]:[Poor]],MATCH($BZ55,RHPS[[helper]:[helper]],0),CK$19)&lt;&gt;"",CK$20,""),
IF(AND(teacher_type="TB",career_stage="P"),
    IF(INDEX(TBPS[[Outstanding]:[Poor]],MATCH($BZ55,TBPS[[helper]:[helper]],0),CK$19)&lt;&gt;"",CK$20,""),
IF(AND(teacher_type="TB",career_stage="HP"),
    IF(INDEX(TBHPS[[Outstanding]:[Poor]],MATCH($BZ55,TBHPS[[helper]:[helper]],0),CK$19)&lt;&gt;"",CK$20,""),
CK$20)))),
CK$20),CK$20)</f>
        <v>5</v>
      </c>
      <c r="CL55" s="359" cm="1">
        <f t="array" ref="CL55">IFERROR(IF($BZ55&lt;&gt;"",
IF(AND(teacher_type="R",career_stage="P"),
    IF(INDEX(RPS[[Outstanding]:[Poor]],MATCH($BZ55,RPS[[helper]:[helper]],0),CL$19)&lt;&gt;"",CL$20,""),
IF(AND(teacher_type="R",career_stage="HP"),
    IF(INDEX(RHPS[[Outstanding]:[Poor]],MATCH($BZ55,RHPS[[helper]:[helper]],0),CL$19)&lt;&gt;"",CL$20,""),
IF(AND(teacher_type="TB",career_stage="P"),
    IF(INDEX(TBPS[[Outstanding]:[Poor]],MATCH($BZ55,TBPS[[helper]:[helper]],0),CL$19)&lt;&gt;"",CL$20,""),
IF(AND(teacher_type="TB",career_stage="HP"),
    IF(INDEX(TBHPS[[Outstanding]:[Poor]],MATCH($BZ55,TBHPS[[helper]:[helper]],0),CL$19)&lt;&gt;"",CL$20,""),
CL$20)))),
CL$20),CL$20)</f>
        <v>4</v>
      </c>
      <c r="CM55" s="359" cm="1">
        <f t="array" ref="CM55">IFERROR(IF($BZ55&lt;&gt;"",
IF(AND(teacher_type="R",career_stage="P"),
    IF(INDEX(RPS[[Outstanding]:[Poor]],MATCH($BZ55,RPS[[helper]:[helper]],0),CM$19)&lt;&gt;"",CM$20,""),
IF(AND(teacher_type="R",career_stage="HP"),
    IF(INDEX(RHPS[[Outstanding]:[Poor]],MATCH($BZ55,RHPS[[helper]:[helper]],0),CM$19)&lt;&gt;"",CM$20,""),
IF(AND(teacher_type="TB",career_stage="P"),
    IF(INDEX(TBPS[[Outstanding]:[Poor]],MATCH($BZ55,TBPS[[helper]:[helper]],0),CM$19)&lt;&gt;"",CM$20,""),
IF(AND(teacher_type="TB",career_stage="HP"),
    IF(INDEX(TBHPS[[Outstanding]:[Poor]],MATCH($BZ55,TBHPS[[helper]:[helper]],0),CM$19)&lt;&gt;"",CM$20,""),
CM$20)))),
CM$20),CM$20)</f>
        <v>3</v>
      </c>
      <c r="CN55" s="359" cm="1">
        <f t="array" ref="CN55">IFERROR(IF($BZ55&lt;&gt;"",
IF(AND(teacher_type="R",career_stage="P"),
    IF(INDEX(RPS[[Outstanding]:[Poor]],MATCH($BZ55,RPS[[helper]:[helper]],0),CN$19)&lt;&gt;"",CN$20,""),
IF(AND(teacher_type="R",career_stage="HP"),
    IF(INDEX(RHPS[[Outstanding]:[Poor]],MATCH($BZ55,RHPS[[helper]:[helper]],0),CN$19)&lt;&gt;"",CN$20,""),
IF(AND(teacher_type="TB",career_stage="P"),
    IF(INDEX(TBPS[[Outstanding]:[Poor]],MATCH($BZ55,TBPS[[helper]:[helper]],0),CN$19)&lt;&gt;"",CN$20,""),
IF(AND(teacher_type="TB",career_stage="HP"),
    IF(INDEX(TBHPS[[Outstanding]:[Poor]],MATCH($BZ55,TBHPS[[helper]:[helper]],0),CN$19)&lt;&gt;"",CN$20,""),
CN$20)))),
CN$20),CN$20)</f>
        <v>2</v>
      </c>
      <c r="CO55" s="359" cm="1">
        <f t="array" ref="CO55">IFERROR(IF($BZ55&lt;&gt;"",
IF(AND(teacher_type="R",career_stage="P"),
    IF(INDEX(RPS[[Outstanding]:[Poor]],MATCH($BZ55,RPS[[helper]:[helper]],0),CO$19)&lt;&gt;"",CO$20,""),
IF(AND(teacher_type="R",career_stage="HP"),
    IF(INDEX(RHPS[[Outstanding]:[Poor]],MATCH($BZ55,RHPS[[helper]:[helper]],0),CO$19)&lt;&gt;"",CO$20,""),
IF(AND(teacher_type="TB",career_stage="P"),
    IF(INDEX(TBPS[[Outstanding]:[Poor]],MATCH($BZ55,TBPS[[helper]:[helper]],0),CO$19)&lt;&gt;"",CO$20,""),
IF(AND(teacher_type="TB",career_stage="HP"),
    IF(INDEX(TBHPS[[Outstanding]:[Poor]],MATCH($BZ55,TBHPS[[helper]:[helper]],0),CO$19)&lt;&gt;"",CO$20,""),
CO$20)))),
CO$20),CO$20)</f>
        <v>1</v>
      </c>
      <c r="CP55" s="360">
        <f t="shared" si="28"/>
        <v>5</v>
      </c>
      <c r="CQ55" s="359" cm="1">
        <f t="array" ref="CQ55">IFERROR(IF($CA55&lt;&gt;"",
IF(AND(teacher_type="R",career_stage="P"),
    IF(INDEX(RPS[[Outstanding]:[Poor]],MATCH($CA55,RPS[[helper]:[helper]],0),CQ$19)&lt;&gt;"",CQ$20,""),
IF(AND(teacher_type="R",career_stage="HP"),
    IF(INDEX(RHPS[[Outstanding]:[Poor]],MATCH($CA55,RHPS[[helper]:[helper]],0),CQ$19)&lt;&gt;"",CQ$20,""),
IF(AND(teacher_type="TB",career_stage="P"),
    IF(INDEX(TBPS[[Outstanding]:[Poor]],MATCH($CA55,TBPS[[helper]:[helper]],0),CQ$19)&lt;&gt;"",CQ$20,""),
IF(AND(teacher_type="TB",career_stage="HP"),
    IF(INDEX(TBHPS[[Outstanding]:[Poor]],MATCH($CA55,TBHPS[[helper]:[helper]],0),CQ$19)&lt;&gt;"",CQ$20,""),
CQ$20)))),
CQ$20),CQ$20)</f>
        <v>5</v>
      </c>
      <c r="CR55" s="359" cm="1">
        <f t="array" ref="CR55">IFERROR(IF($CA55&lt;&gt;"",
IF(AND(teacher_type="R",career_stage="P"),
    IF(INDEX(RPS[[Outstanding]:[Poor]],MATCH($CA55,RPS[[helper]:[helper]],0),CR$19)&lt;&gt;"",CR$20,""),
IF(AND(teacher_type="R",career_stage="HP"),
    IF(INDEX(RHPS[[Outstanding]:[Poor]],MATCH($CA55,RHPS[[helper]:[helper]],0),CR$19)&lt;&gt;"",CR$20,""),
IF(AND(teacher_type="TB",career_stage="P"),
    IF(INDEX(TBPS[[Outstanding]:[Poor]],MATCH($CA55,TBPS[[helper]:[helper]],0),CR$19)&lt;&gt;"",CR$20,""),
IF(AND(teacher_type="TB",career_stage="HP"),
    IF(INDEX(TBHPS[[Outstanding]:[Poor]],MATCH($CA55,TBHPS[[helper]:[helper]],0),CR$19)&lt;&gt;"",CR$20,""),
CR$20)))),
CR$20),CR$20)</f>
        <v>4</v>
      </c>
      <c r="CS55" s="359" cm="1">
        <f t="array" ref="CS55">IFERROR(IF($CA55&lt;&gt;"",
IF(AND(teacher_type="R",career_stage="P"),
    IF(INDEX(RPS[[Outstanding]:[Poor]],MATCH($CA55,RPS[[helper]:[helper]],0),CS$19)&lt;&gt;"",CS$20,""),
IF(AND(teacher_type="R",career_stage="HP"),
    IF(INDEX(RHPS[[Outstanding]:[Poor]],MATCH($CA55,RHPS[[helper]:[helper]],0),CS$19)&lt;&gt;"",CS$20,""),
IF(AND(teacher_type="TB",career_stage="P"),
    IF(INDEX(TBPS[[Outstanding]:[Poor]],MATCH($CA55,TBPS[[helper]:[helper]],0),CS$19)&lt;&gt;"",CS$20,""),
IF(AND(teacher_type="TB",career_stage="HP"),
    IF(INDEX(TBHPS[[Outstanding]:[Poor]],MATCH($CA55,TBHPS[[helper]:[helper]],0),CS$19)&lt;&gt;"",CS$20,""),
CS$20)))),
CS$20),CS$20)</f>
        <v>3</v>
      </c>
      <c r="CT55" s="359" cm="1">
        <f t="array" ref="CT55">IFERROR(IF($CA55&lt;&gt;"",
IF(AND(teacher_type="R",career_stage="P"),
    IF(INDEX(RPS[[Outstanding]:[Poor]],MATCH($CA55,RPS[[helper]:[helper]],0),CT$19)&lt;&gt;"",CT$20,""),
IF(AND(teacher_type="R",career_stage="HP"),
    IF(INDEX(RHPS[[Outstanding]:[Poor]],MATCH($CA55,RHPS[[helper]:[helper]],0),CT$19)&lt;&gt;"",CT$20,""),
IF(AND(teacher_type="TB",career_stage="P"),
    IF(INDEX(TBPS[[Outstanding]:[Poor]],MATCH($CA55,TBPS[[helper]:[helper]],0),CT$19)&lt;&gt;"",CT$20,""),
IF(AND(teacher_type="TB",career_stage="HP"),
    IF(INDEX(TBHPS[[Outstanding]:[Poor]],MATCH($CA55,TBHPS[[helper]:[helper]],0),CT$19)&lt;&gt;"",CT$20,""),
CT$20)))),
CT$20),CT$20)</f>
        <v>2</v>
      </c>
      <c r="CU55" s="359" cm="1">
        <f t="array" ref="CU55">IFERROR(IF($CA55&lt;&gt;"",
IF(AND(teacher_type="R",career_stage="P"),
    IF(INDEX(RPS[[Outstanding]:[Poor]],MATCH($CA55,RPS[[helper]:[helper]],0),CU$19)&lt;&gt;"",CU$20,""),
IF(AND(teacher_type="R",career_stage="HP"),
    IF(INDEX(RHPS[[Outstanding]:[Poor]],MATCH($CA55,RHPS[[helper]:[helper]],0),CU$19)&lt;&gt;"",CU$20,""),
IF(AND(teacher_type="TB",career_stage="P"),
    IF(INDEX(TBPS[[Outstanding]:[Poor]],MATCH($CA55,TBPS[[helper]:[helper]],0),CU$19)&lt;&gt;"",CU$20,""),
IF(AND(teacher_type="TB",career_stage="HP"),
    IF(INDEX(TBHPS[[Outstanding]:[Poor]],MATCH($CA55,TBHPS[[helper]:[helper]],0),CU$19)&lt;&gt;"",CU$20,""),
CU$20)))),
CU$20),CU$20)</f>
        <v>1</v>
      </c>
      <c r="CV55" s="360">
        <f t="shared" si="29"/>
        <v>5</v>
      </c>
      <c r="CY55" s="443" t="b" cm="1">
        <f t="array" ref="CY55">IFERROR(AND(S$12,IF(AND($G55,$D55="COI"),
IF(AND(teacher_type="R",career_stage="P"),VLOOKUP($BF55,RPI[],COLUMN(RPI[cot1]),FALSE),
IF(AND(teacher_type="R",career_stage="HP"),VLOOKUP($BF55,RHPI[],COLUMN(RHPI[cot1]),FALSE),
IF(AND(teacher_type="TB",career_stage="P"),VLOOKUP($BF55,TBPI[],COLUMN(TBPI[cot1]),FALSE),
IF(AND(teacher_type="TB",career_stage="HP"),VLOOKUP($BF55,TBHPI[],COLUMN(TBHPI[cot1]),FALSE),FALSE)))),
FALSE)),FALSE)</f>
        <v>0</v>
      </c>
      <c r="CZ55" s="443" t="b">
        <f t="shared" si="30"/>
        <v>0</v>
      </c>
      <c r="DA55" s="443" t="b" cm="1">
        <f t="array" ref="DA55">IFERROR(AND(U$12,IF(AND($G55,$D55="COI"),
IF(AND(teacher_type="R",career_stage="P"),VLOOKUP($BF55,RPI[],COLUMN(RPI[cot2]),FALSE),
IF(AND(teacher_type="R",career_stage="HP"),VLOOKUP($BF55,RHPI[],COLUMN(RHPI[cot2]),FALSE),
IF(AND(teacher_type="TB",career_stage="P"),VLOOKUP($BF55,TBPI[],COLUMN(TBPI[cot2]),FALSE),
IF(AND(teacher_type="TB",career_stage="HP"),VLOOKUP($BF55,TBHPI[],COLUMN(TBHPI[cot2]),FALSE),FALSE)))),
FALSE)),FALSE)</f>
        <v>0</v>
      </c>
      <c r="DB55" s="443" t="b">
        <f t="shared" si="31"/>
        <v>0</v>
      </c>
      <c r="DC55" s="443" t="b" cm="1">
        <f t="array" ref="DC55">IFERROR(AND(W$12,IF(AND($G55,$D55="COI"),
IF(AND(teacher_type="R",career_stage="P"),VLOOKUP($BF55,RPI[],COLUMN(RPI[cot3]),FALSE),
IF(AND(teacher_type="R",career_stage="HP"),VLOOKUP($BF55,RHPI[],COLUMN(RHPI[cot3]),FALSE),
IF(AND(teacher_type="TB",career_stage="P"),VLOOKUP($BF55,TBPI[],COLUMN(TBPI[cot3]),FALSE),
IF(AND(teacher_type="TB",career_stage="HP"),VLOOKUP($BF55,TBHPI[],COLUMN(TBHPI[cot3]),FALSE),FALSE)))),
FALSE)),FALSE)</f>
        <v>0</v>
      </c>
      <c r="DD55" s="443" t="b">
        <f t="shared" si="32"/>
        <v>0</v>
      </c>
      <c r="DE55" s="443" t="b" cm="1">
        <f t="array" ref="DE55">IFERROR(AND(Y$12,IF(AND($G55,$D55="COI"),
IF(AND(teacher_type="R",career_stage="P"),VLOOKUP($BF55,RPI[],COLUMN(RPI[cot4]),FALSE),
IF(AND(teacher_type="R",career_stage="HP"),VLOOKUP($BF55,RHPI[],COLUMN(RHPI[cot4]),FALSE),
IF(AND(teacher_type="TB",career_stage="P"),VLOOKUP($BF55,TBPI[],COLUMN(TBPI[cot4]),FALSE),
IF(AND(teacher_type="TB",career_stage="HP"),VLOOKUP($BF55,TBHPI[],COLUMN(TBHPI[cot4]),FALSE),FALSE)))),
FALSE)),FALSE)</f>
        <v>0</v>
      </c>
      <c r="DF55" s="443" t="b">
        <f t="shared" si="33"/>
        <v>0</v>
      </c>
      <c r="DG55" s="150">
        <f t="shared" si="34"/>
        <v>0</v>
      </c>
      <c r="DH55" s="154">
        <f>IF(AND(CY55,LOWER(TRIM(S$20))=LOWER(TRIM(data2!$U$35))),1,0) +
IF(AND(DA55,LOWER(TRIM(U$20))=LOWER(TRIM(data2!$U$35))),1,0) +
IF(AND(DC55,LOWER(TRIM(W$20))=LOWER(TRIM(data2!$U$35))),1,0) +
IF(AND(DE55,LOWER(TRIM(Y$20))=LOWER(TRIM(data2!$U$35))),1,0)</f>
        <v>0</v>
      </c>
      <c r="DJ55" s="154">
        <f t="shared" si="35"/>
        <v>0</v>
      </c>
    </row>
    <row r="56" spans="1:114" s="154" customFormat="1" ht="24.95" customHeight="1" x14ac:dyDescent="0.25">
      <c r="A56" s="156"/>
      <c r="B56" s="154">
        <v>35</v>
      </c>
      <c r="C56" s="150" t="str">
        <f>IFERROR(IF(AND(teacher_type="R",career_stage="P"),VLOOKUP(O56,RPI[],COLUMNS(RPI[[Strand]:[admin_selected_coi_ncoi]]),FALSE),IF(AND(teacher_type="R",career_stage="HP"),VLOOKUP(O56,RHPI[],COLUMNS(RHPI[[Strand]:[admin_selected_coi_ncoi]]),FALSE),IF(AND(teacher_type="TB",career_stage="P"),VLOOKUP(O56,TBPI[],COLUMNS(TBPI[[Strand]:[admin_selected_coi_ncoi]]),FALSE),IF(AND(teacher_type="TB",career_stage="HP"),VLOOKUP(O56,TBHPI[],COLUMNS(TBHPI[[Strand]:[admin_selected_coi_ncoi]]),FALSE),"NCOI")))),"NCOI")</f>
        <v>NCOI</v>
      </c>
      <c r="D56" s="150" t="str">
        <f t="shared" si="10"/>
        <v>NCOI</v>
      </c>
      <c r="E56" s="150">
        <f>IFERROR(IF(AND(teacher_type="R",career_stage="P"),VLOOKUP($O56,RPI[[Strand]:[Domain]],COLUMNS(RPI[[Strand]:[Domain]]),FALSE),IF(AND(teacher_type="R",career_stage="HP"),VLOOKUP($O56,RHPI[[Strand]:[Domain]],COLUMNS(RHPI[[Strand]:[Domain]]),FALSE),IF(AND(teacher_type="TB",career_stage="P"),VLOOKUP($O56,TBPI[[Strand]:[Domain]],COLUMNS(TBPI[[Strand]:[Domain]]),FALSE),IF(AND(teacher_type="TB",career_stage="HP"),VLOOKUP($O56,TBHPI[[Strand]:[Domain]],COLUMNS(TBHPI[[Strand]:[Domain]]),FALSE),"")))),"")</f>
        <v>4</v>
      </c>
      <c r="F56" s="155" t="b">
        <f>AND(COUNTIFS($E$22:$E56,E56,$G$22:$G56,TRUE)=1,$G56)</f>
        <v>0</v>
      </c>
      <c r="G56" s="212" t="b">
        <f>IFERROR(IF(AND(teacher_type="R",career_stage="P"),VLOOKUP($O56,RPI[],COLUMNS(RPI[[Strand]:[Selected]]),FALSE),IF(AND(teacher_type="R",career_stage="HP"),VLOOKUP($O56,RHPI[],COLUMNS(RHPI[[Strand]:[Selected]]),FALSE),IF(AND(teacher_type="TB",career_stage="P"),VLOOKUP($O56,TBPI[],COLUMNS(TBPI[[Strand]:[Selected]]),FALSE),IF(AND(teacher_type="TB",career_stage="HP"),VLOOKUP($O56,TBHPI[],COLUMNS(TBHPI[[Strand]:[Selected]]),FALSE),FALSE)))),FALSE)</f>
        <v>1</v>
      </c>
      <c r="H56" s="156" t="b">
        <f>IFERROR(IF(AND(teacher_type="R",career_stage="P"),AND(COUNTIFS(RPS[Strand],$O56,RPS[QET],H$21)&gt;0,$G56),IF(AND(teacher_type="R",career_stage="HP"),AND(COUNTIFS(RHPS[Strand],$O56,RHPS[QET],H$21)&gt;0,$G56),IF(AND(teacher_type="TB",career_stage="P"),AND(COUNTIFS(TBPS[Strand],$O56,TBPS[QET],H$21)&gt;0,$G56),IF(AND(teacher_type="TB",career_stage="HP"),AND(COUNTIFS(TBHPS[Strand],$O56,TBHPS[QET],H$21)&gt;0,$G56),FALSE)))),FALSE)</f>
        <v>1</v>
      </c>
      <c r="I56" s="156" t="b">
        <f t="shared" si="11"/>
        <v>1</v>
      </c>
      <c r="J56" s="156" t="b">
        <f>IFERROR(IF(AND(teacher_type="R",career_stage="P"),AND(COUNTIFS(RPS[Strand],$O56,RPS[QET],J$21)&gt;0,$G56),IF(AND(teacher_type="R",career_stage="HP"),AND(COUNTIFS(RHPS[Strand],$O56,RHPS[QET],J$21)&gt;0,$G56),IF(AND(teacher_type="TB",career_stage="P"),AND(COUNTIFS(TBPS[Strand],$O56,TBPS[QET],J$21)&gt;0,$G56),IF(AND(teacher_type="TB",career_stage="HP"),AND(COUNTIFS(TBHPS[Strand],$O56,TBHPS[QET],J$21)&gt;0,$G56),FALSE)))),FALSE)</f>
        <v>0</v>
      </c>
      <c r="K56" s="156" t="b">
        <f>IFERROR(IF(AND(teacher_type="R",career_stage="P"),AND(COUNTIFS(RPS[Strand],$O56,RPS[QET],K$21)&gt;0,$G56),IF(AND(teacher_type="R",career_stage="HP"),AND(COUNTIFS(RHPS[Strand],$O56,RHPS[QET],K$21)&gt;0,$G56),IF(AND(teacher_type="TB",career_stage="P"),AND(COUNTIFS(TBPS[Strand],$O56,TBPS[QET],K$21)&gt;0,$G56),IF(AND(teacher_type="TB",career_stage="HP"),AND(COUNTIFS(TBHPS[Strand],$O56,TBHPS[QET],K$21)&gt;0,$G56),FALSE)))),FALSE)</f>
        <v>1</v>
      </c>
      <c r="L56" s="156" t="b">
        <f t="shared" si="12"/>
        <v>0</v>
      </c>
      <c r="M56" s="165" t="str">
        <f t="shared" si="13"/>
        <v/>
      </c>
      <c r="N56" s="48">
        <f>IF($G56,COUNTIF($G$22:$G56,TRUE),"")</f>
        <v>13</v>
      </c>
      <c r="O56" s="48" t="str" cm="1">
        <f t="array" ref="O56">IFERROR(IF(AND(teacher_type="R",career_stage="P"),INDEX(RPI[Strand],$B56),IF(AND(teacher_type="R",career_stage="HP"),INDEX(RHPI[Strand],$B56),IF(AND(teacher_type="TB",career_stage="P"),INDEX(TBPI[Strand],$B56),IF(AND(teacher_type="TB",career_stage="HP"),INDEX(TBHPI[Strand],$B56),"")))),"")</f>
        <v>7.3.2</v>
      </c>
      <c r="P56" s="166" t="str">
        <f>$C$56</f>
        <v>NCOI</v>
      </c>
      <c r="Q56" s="173">
        <f>IFERROR(IF(AND(teacher_type="R",career_stage="P"),VLOOKUP(O56,RPI[],COLUMNS(RPI[[Strand]:[Weight]]),FALSE), IF(AND(teacher_type="R",career_stage="HP"),VLOOKUP(O56,RHPI[],COLUMNS(RHPI[[Strand]:[Weight]]),FALSE), IF(AND(teacher_type="TB",career_stage="P"),VLOOKUP(O56,TBPI[],COLUMNS(TBPI[[Strand]:[Weight]]),FALSE), IF(AND(teacher_type="TB",career_stage="HP"),VLOOKUP(O56,TBHPI[],COLUMNS(TBHPI[[Strand]:[Weight]]),FALSE),0)))),0)</f>
        <v>7.0000000000000007E-2</v>
      </c>
      <c r="R56" s="174">
        <f>COUNTIFS($D$22:D56,"COI",$G$22:G56,TRUE)</f>
        <v>9</v>
      </c>
      <c r="S56" s="484"/>
      <c r="T56" s="175" t="str">
        <f>IFERROR(IF(LOWER(TRIM(S$20))=LOWER(TRIM(data2!$U$35)),"",IF(AND($G56,$D56="COI",S$12,CZ56),IF(OR(LOWER(TRIM(S$20))=LOWER(TRIM(data2!$U$36)),ISBLANK(S56)),1,IF(career_stage="P",VLOOKUP(S56,P_COT_vlookup,2,FALSE),IF(career_stage="HP",VLOOKUP(S56,HP_COT_vlookup,2,FALSE),""))),"")),"")</f>
        <v/>
      </c>
      <c r="U56" s="471"/>
      <c r="V56" s="176" t="str">
        <f>IFERROR(IF(LOWER(TRIM(U$20))=LOWER(TRIM(data2!$U$35)),"",IF(AND($G56,$D56="COI",U$12,DB56),IF(OR(LOWER(TRIM(U$20))=LOWER(TRIM(data2!$U$36)),ISBLANK(U56)),1,IF(career_stage="P",VLOOKUP(U56,P_COT_vlookup,2,FALSE),IF(career_stage="HP",VLOOKUP(U56,HP_COT_vlookup,2,FALSE),""))),"")),"")</f>
        <v/>
      </c>
      <c r="W56" s="484"/>
      <c r="X56" s="175" t="str">
        <f>IFERROR(IF(LOWER(TRIM(W$20))=LOWER(TRIM(data2!$U$35)),"",IF(AND($G56,$D56="COI",W$12,DD56),IF(OR(LOWER(TRIM(W$20))=LOWER(TRIM(data2!$U$36)),ISBLANK(W56)),1,IF(career_stage="P",VLOOKUP(W56,P_COT_vlookup,2,FALSE),IF(career_stage="HP",VLOOKUP(W56,HP_COT_vlookup,2,FALSE),""))),"")),"")</f>
        <v/>
      </c>
      <c r="Y56" s="471"/>
      <c r="Z56" s="176" t="str">
        <f>IFERROR(IF(LOWER(TRIM(Y$20))=LOWER(TRIM(data2!$U$35)),"",IF(AND($G56,$D56="COI",Y$12,DF56),IF(OR(LOWER(TRIM(Y$20))=LOWER(TRIM(data2!$U$36)),ISBLANK(Y56)),1,IF(career_stage="P",VLOOKUP(Y56,P_COT_vlookup,2,FALSE),IF(career_stage="HP",VLOOKUP(Y56,HP_COT_vlookup,2,FALSE),""))),"")),"")</f>
        <v/>
      </c>
      <c r="AA56" s="171">
        <f t="shared" si="14"/>
        <v>0</v>
      </c>
      <c r="AB56" s="459">
        <v>4</v>
      </c>
      <c r="AC56" s="474"/>
      <c r="AD56" s="462">
        <v>3</v>
      </c>
      <c r="AE56" s="49">
        <f t="shared" si="2"/>
        <v>3.5</v>
      </c>
      <c r="AF56" s="49">
        <f t="shared" si="3"/>
        <v>0.245</v>
      </c>
      <c r="AG56" s="172" t="str">
        <f t="shared" si="4"/>
        <v>Very Satisfactory</v>
      </c>
      <c r="AI56" s="196" t="b">
        <f t="shared" si="5"/>
        <v>1</v>
      </c>
      <c r="AJ56" s="154" t="b">
        <v>1</v>
      </c>
      <c r="AK56" s="154" t="b">
        <v>1</v>
      </c>
      <c r="AL56" s="196" t="b">
        <f t="shared" si="15"/>
        <v>1</v>
      </c>
      <c r="AM56" s="154" t="b">
        <v>1</v>
      </c>
      <c r="AN56" s="196" t="b">
        <f t="shared" si="15"/>
        <v>1</v>
      </c>
      <c r="AO56" s="154" t="b">
        <v>1</v>
      </c>
      <c r="AP56" s="196" t="b">
        <f t="shared" si="15"/>
        <v>1</v>
      </c>
      <c r="AQ56" s="154" t="b">
        <v>1</v>
      </c>
      <c r="AR56" s="196" t="b">
        <f t="shared" si="15"/>
        <v>1</v>
      </c>
      <c r="AS56" s="154" t="b">
        <v>1</v>
      </c>
      <c r="AT56" s="154" t="b">
        <v>1</v>
      </c>
      <c r="AU56" s="196" t="b">
        <f t="shared" si="6"/>
        <v>1</v>
      </c>
      <c r="AV56" s="196" t="b">
        <f t="shared" si="7"/>
        <v>1</v>
      </c>
      <c r="AW56" s="196" t="b">
        <f t="shared" si="8"/>
        <v>1</v>
      </c>
      <c r="AX56" s="47" t="b">
        <v>1</v>
      </c>
      <c r="AY56" s="47" t="b">
        <v>1</v>
      </c>
      <c r="AZ56" s="47" t="b">
        <v>1</v>
      </c>
      <c r="BF56" s="154" t="str">
        <f t="shared" si="9"/>
        <v>7.3.2</v>
      </c>
      <c r="BG56" s="196" t="b" cm="1">
        <f t="array" ref="BG56">IFERROR(IF(OR(LOWER(TRIM(S$20))=LOWER(TRIM(data2!$U$35)),LOWER(TRIM(S$20))=LOWER(TRIM(data2!$U$36))),FALSE,AND(S$12,IF(AND($G56,$D56="COI"),
IF(AND(teacher_type="R",career_stage="P"),VLOOKUP($BF56,RPI[],COLUMN(RPI[cot1]),FALSE),
IF(AND(teacher_type="R",career_stage="HP"),VLOOKUP($BF56,RHPI[],COLUMN(RHPI[cot1]),FALSE),
IF(AND(teacher_type="TB",career_stage="P"),VLOOKUP($BF56,TBPI[],COLUMN(TBPI[cot1]),FALSE),
IF(AND(teacher_type="TB",career_stage="HP"),VLOOKUP($BF56,TBHPI[],COLUMN(TBHPI[cot1]),FALSE),FALSE)))),
FALSE))),FALSE)</f>
        <v>0</v>
      </c>
      <c r="BH56" s="154" t="b">
        <v>0</v>
      </c>
      <c r="BI56" s="196" t="b" cm="1">
        <f t="array" ref="BI56">IFERROR(IF(OR(LOWER(TRIM(U$20))=LOWER(TRIM(data2!$U$35)),LOWER(TRIM(U$20))=LOWER(TRIM(data2!$U$36))),FALSE,AND(U$12,IF(AND($G56,$D56="COI"),
IF(AND(teacher_type="R",career_stage="P"),VLOOKUP($BF56,RPI[],COLUMN(RPI[cot2]),FALSE),
IF(AND(teacher_type="R",career_stage="HP"),VLOOKUP($BF56,RHPI[],COLUMN(RHPI[cot2]),FALSE),
IF(AND(teacher_type="TB",career_stage="P"),VLOOKUP($BF56,TBPI[],COLUMN(TBPI[cot2]),FALSE),
IF(AND(teacher_type="TB",career_stage="HP"),VLOOKUP($BF56,TBHPI[],COLUMN(TBHPI[cot2]),FALSE),FALSE)))),
FALSE))),FALSE)</f>
        <v>0</v>
      </c>
      <c r="BJ56" s="154" t="b">
        <v>0</v>
      </c>
      <c r="BK56" s="196" t="b" cm="1">
        <f t="array" ref="BK56">IFERROR(IF(OR(LOWER(TRIM(W$20))=LOWER(TRIM(data2!$U$35)),LOWER(TRIM(W$20))=LOWER(TRIM(data2!$U$36))),FALSE,AND(W$12,IF(AND($G56,$D56="COI"),
IF(AND(teacher_type="R",career_stage="P"),VLOOKUP($BF56,RPI[],COLUMN(RPI[cot3]),FALSE),
IF(AND(teacher_type="R",career_stage="HP"),VLOOKUP($BF56,RHPI[],COLUMN(RHPI[cot3]),FALSE),
IF(AND(teacher_type="TB",career_stage="P"),VLOOKUP($BF56,TBPI[],COLUMN(TBPI[cot3]),FALSE),
IF(AND(teacher_type="TB",career_stage="HP"),VLOOKUP($BF56,TBHPI[],COLUMN(TBHPI[cot3]),FALSE),FALSE)))),
FALSE))),FALSE)</f>
        <v>0</v>
      </c>
      <c r="BL56" s="154" t="b">
        <v>0</v>
      </c>
      <c r="BM56" s="196" t="b" cm="1">
        <f t="array" ref="BM56">IFERROR(IF(OR(LOWER(TRIM(Y$20))=LOWER(TRIM(data2!$U$35)),LOWER(TRIM(Y$20))=LOWER(TRIM(data2!$U$36))),FALSE,AND(Y$12,IF(AND($G56,$D56="COI"),
IF(AND(teacher_type="R",career_stage="P"),VLOOKUP($BF56,RPI[],COLUMN(RPI[cot4]),FALSE),
IF(AND(teacher_type="R",career_stage="HP"),VLOOKUP($BF56,RHPI[],COLUMN(RHPI[cot4]),FALSE),
IF(AND(teacher_type="TB",career_stage="P"),VLOOKUP($BF56,TBPI[],COLUMN(TBPI[cot4]),FALSE),
IF(AND(teacher_type="TB",career_stage="HP"),VLOOKUP($BF56,TBHPI[],COLUMN(TBHPI[cot4]),FALSE),FALSE)))),
FALSE))),FALSE)</f>
        <v>0</v>
      </c>
      <c r="BN56" s="154" t="b">
        <v>0</v>
      </c>
      <c r="BO56" s="150">
        <f t="shared" si="16"/>
        <v>0</v>
      </c>
      <c r="BP56" s="196" t="b">
        <f t="shared" si="17"/>
        <v>0</v>
      </c>
      <c r="BQ56" s="196" t="b">
        <f>IFERROR(IF(OR(NOT(CZ56),LOWER(TRIM(S$20))=LOWER(TRIM(data2!$U$35))),TRUE,IF(AND(CZ56,LOWER(TRIM(S$20))=LOWER(TRIM(data2!$U$36))),FALSE)),FALSE)</f>
        <v>1</v>
      </c>
      <c r="BR56" s="196" t="b">
        <f t="shared" si="18"/>
        <v>0</v>
      </c>
      <c r="BS56" s="196" t="b">
        <f>IFERROR(IF(OR(NOT(DB56),LOWER(TRIM(U$20))=LOWER(TRIM(data2!$U$35))),TRUE,IF(AND(DB56,LOWER(TRIM(U$20))=LOWER(TRIM(data2!$U$36))),FALSE)),FALSE)</f>
        <v>1</v>
      </c>
      <c r="BT56" s="196" t="b">
        <f t="shared" si="19"/>
        <v>0</v>
      </c>
      <c r="BU56" s="196" t="b">
        <f>IFERROR(IF(OR(NOT(DD56),LOWER(TRIM(W$20))=LOWER(TRIM(data2!$U$35))),TRUE,IF(AND(DD56,LOWER(TRIM(W$20))=LOWER(TRIM(data2!$U$36))),FALSE)),FALSE)</f>
        <v>1</v>
      </c>
      <c r="BV56" s="196" t="b">
        <f t="shared" si="20"/>
        <v>0</v>
      </c>
      <c r="BW56" s="196" t="b">
        <f>IFERROR(IF(OR(NOT(DF56),LOWER(TRIM(Y$20))=LOWER(TRIM(data2!$U$35))),TRUE,IF(AND(DF56,LOWER(TRIM(Y$20))=LOWER(TRIM(data2!$U$36))),FALSE)),FALSE)</f>
        <v>1</v>
      </c>
      <c r="BY56" s="154" t="str">
        <f t="shared" si="21"/>
        <v>7.3.2-Q-NCOI</v>
      </c>
      <c r="BZ56" s="154" t="str">
        <f t="shared" si="22"/>
        <v/>
      </c>
      <c r="CA56" s="154" t="str">
        <f t="shared" si="23"/>
        <v>7.3.2-T-NCOI</v>
      </c>
      <c r="CB56" s="154" t="str">
        <f t="shared" si="24"/>
        <v>CE56:CI56</v>
      </c>
      <c r="CC56" s="154" t="str">
        <f t="shared" si="25"/>
        <v>CK56:CO56</v>
      </c>
      <c r="CD56" s="154" t="str">
        <f t="shared" si="26"/>
        <v>CQ56:CU56</v>
      </c>
      <c r="CE56" s="359" cm="1">
        <f t="array" ref="CE56">IFERROR(IF($BY56&lt;&gt;"",
IF(AND(teacher_type="R",career_stage="P"),
    IF(INDEX(RPS[[Outstanding]:[Poor]],MATCH($BY56,RPS[[helper]:[helper]],0),CE$19)&lt;&gt;"",CE$20,""),
IF(AND(teacher_type="R",career_stage="HP"),
    IF(INDEX(RHPS[[Outstanding]:[Poor]],MATCH($BY56,RHPS[[helper]:[helper]],0),CE$19)&lt;&gt;"",CE$20,""),
IF(AND(teacher_type="TB",career_stage="P"),
    IF(INDEX(TBPS[[Outstanding]:[Poor]],MATCH($BY56,TBPS[[helper]:[helper]],0),CE$19)&lt;&gt;"",CE$20,""),
IF(AND(teacher_type="TB",career_stage="HP"),
    IF(INDEX(TBHPS[[Outstanding]:[Poor]],MATCH($BY56,TBHPS[[helper]:[helper]],0),CE$19)&lt;&gt;"",CE$20,""),
CE$20)))),
CE$20),CE$20)</f>
        <v>5</v>
      </c>
      <c r="CF56" s="359" cm="1">
        <f t="array" ref="CF56">IFERROR(IF($BY56&lt;&gt;"",
IF(AND(teacher_type="R",career_stage="P"),
    IF(INDEX(RPS[[Outstanding]:[Poor]],MATCH($BY56,RPS[[helper]:[helper]],0),CF$19)&lt;&gt;"",CF$20,""),
IF(AND(teacher_type="R",career_stage="HP"),
    IF(INDEX(RHPS[[Outstanding]:[Poor]],MATCH($BY56,RHPS[[helper]:[helper]],0),CF$19)&lt;&gt;"",CF$20,""),
IF(AND(teacher_type="TB",career_stage="P"),
    IF(INDEX(TBPS[[Outstanding]:[Poor]],MATCH($BY56,TBPS[[helper]:[helper]],0),CF$19)&lt;&gt;"",CF$20,""),
IF(AND(teacher_type="TB",career_stage="HP"),
    IF(INDEX(TBHPS[[Outstanding]:[Poor]],MATCH($BY56,TBHPS[[helper]:[helper]],0),CF$19)&lt;&gt;"",CF$20,""),
CF$20)))),
CF$20),CF$20)</f>
        <v>4</v>
      </c>
      <c r="CG56" s="359" cm="1">
        <f t="array" ref="CG56">IFERROR(IF($BY56&lt;&gt;"",
IF(AND(teacher_type="R",career_stage="P"),
    IF(INDEX(RPS[[Outstanding]:[Poor]],MATCH($BY56,RPS[[helper]:[helper]],0),CG$19)&lt;&gt;"",CG$20,""),
IF(AND(teacher_type="R",career_stage="HP"),
    IF(INDEX(RHPS[[Outstanding]:[Poor]],MATCH($BY56,RHPS[[helper]:[helper]],0),CG$19)&lt;&gt;"",CG$20,""),
IF(AND(teacher_type="TB",career_stage="P"),
    IF(INDEX(TBPS[[Outstanding]:[Poor]],MATCH($BY56,TBPS[[helper]:[helper]],0),CG$19)&lt;&gt;"",CG$20,""),
IF(AND(teacher_type="TB",career_stage="HP"),
    IF(INDEX(TBHPS[[Outstanding]:[Poor]],MATCH($BY56,TBHPS[[helper]:[helper]],0),CG$19)&lt;&gt;"",CG$20,""),
CG$20)))),
CG$20),CG$20)</f>
        <v>3</v>
      </c>
      <c r="CH56" s="359" cm="1">
        <f t="array" ref="CH56">IFERROR(IF($BY56&lt;&gt;"",
IF(AND(teacher_type="R",career_stage="P"),
    IF(INDEX(RPS[[Outstanding]:[Poor]],MATCH($BY56,RPS[[helper]:[helper]],0),CH$19)&lt;&gt;"",CH$20,""),
IF(AND(teacher_type="R",career_stage="HP"),
    IF(INDEX(RHPS[[Outstanding]:[Poor]],MATCH($BY56,RHPS[[helper]:[helper]],0),CH$19)&lt;&gt;"",CH$20,""),
IF(AND(teacher_type="TB",career_stage="P"),
    IF(INDEX(TBPS[[Outstanding]:[Poor]],MATCH($BY56,TBPS[[helper]:[helper]],0),CH$19)&lt;&gt;"",CH$20,""),
IF(AND(teacher_type="TB",career_stage="HP"),
    IF(INDEX(TBHPS[[Outstanding]:[Poor]],MATCH($BY56,TBHPS[[helper]:[helper]],0),CH$19)&lt;&gt;"",CH$20,""),
CH$20)))),
CH$20),CH$20)</f>
        <v>2</v>
      </c>
      <c r="CI56" s="359" cm="1">
        <f t="array" ref="CI56">IFERROR(IF($BY56&lt;&gt;"",
IF(AND(teacher_type="R",career_stage="P"),
    IF(INDEX(RPS[[Outstanding]:[Poor]],MATCH($BY56,RPS[[helper]:[helper]],0),CI$19)&lt;&gt;"",CI$20,""),
IF(AND(teacher_type="R",career_stage="HP"),
    IF(INDEX(RHPS[[Outstanding]:[Poor]],MATCH($BY56,RHPS[[helper]:[helper]],0),CI$19)&lt;&gt;"",CI$20,""),
IF(AND(teacher_type="TB",career_stage="P"),
    IF(INDEX(TBPS[[Outstanding]:[Poor]],MATCH($BY56,TBPS[[helper]:[helper]],0),CI$19)&lt;&gt;"",CI$20,""),
IF(AND(teacher_type="TB",career_stage="HP"),
    IF(INDEX(TBHPS[[Outstanding]:[Poor]],MATCH($BY56,TBHPS[[helper]:[helper]],0),CI$19)&lt;&gt;"",CI$20,""),
CI$20)))),
CI$20),CI$20)</f>
        <v>1</v>
      </c>
      <c r="CJ56" s="360">
        <f t="shared" si="27"/>
        <v>5</v>
      </c>
      <c r="CK56" s="359" cm="1">
        <f t="array" ref="CK56">IFERROR(IF($BZ56&lt;&gt;"",
IF(AND(teacher_type="R",career_stage="P"),
    IF(INDEX(RPS[[Outstanding]:[Poor]],MATCH($BZ56,RPS[[helper]:[helper]],0),CK$19)&lt;&gt;"",CK$20,""),
IF(AND(teacher_type="R",career_stage="HP"),
    IF(INDEX(RHPS[[Outstanding]:[Poor]],MATCH($BZ56,RHPS[[helper]:[helper]],0),CK$19)&lt;&gt;"",CK$20,""),
IF(AND(teacher_type="TB",career_stage="P"),
    IF(INDEX(TBPS[[Outstanding]:[Poor]],MATCH($BZ56,TBPS[[helper]:[helper]],0),CK$19)&lt;&gt;"",CK$20,""),
IF(AND(teacher_type="TB",career_stage="HP"),
    IF(INDEX(TBHPS[[Outstanding]:[Poor]],MATCH($BZ56,TBHPS[[helper]:[helper]],0),CK$19)&lt;&gt;"",CK$20,""),
CK$20)))),
CK$20),CK$20)</f>
        <v>5</v>
      </c>
      <c r="CL56" s="359" cm="1">
        <f t="array" ref="CL56">IFERROR(IF($BZ56&lt;&gt;"",
IF(AND(teacher_type="R",career_stage="P"),
    IF(INDEX(RPS[[Outstanding]:[Poor]],MATCH($BZ56,RPS[[helper]:[helper]],0),CL$19)&lt;&gt;"",CL$20,""),
IF(AND(teacher_type="R",career_stage="HP"),
    IF(INDEX(RHPS[[Outstanding]:[Poor]],MATCH($BZ56,RHPS[[helper]:[helper]],0),CL$19)&lt;&gt;"",CL$20,""),
IF(AND(teacher_type="TB",career_stage="P"),
    IF(INDEX(TBPS[[Outstanding]:[Poor]],MATCH($BZ56,TBPS[[helper]:[helper]],0),CL$19)&lt;&gt;"",CL$20,""),
IF(AND(teacher_type="TB",career_stage="HP"),
    IF(INDEX(TBHPS[[Outstanding]:[Poor]],MATCH($BZ56,TBHPS[[helper]:[helper]],0),CL$19)&lt;&gt;"",CL$20,""),
CL$20)))),
CL$20),CL$20)</f>
        <v>4</v>
      </c>
      <c r="CM56" s="359" cm="1">
        <f t="array" ref="CM56">IFERROR(IF($BZ56&lt;&gt;"",
IF(AND(teacher_type="R",career_stage="P"),
    IF(INDEX(RPS[[Outstanding]:[Poor]],MATCH($BZ56,RPS[[helper]:[helper]],0),CM$19)&lt;&gt;"",CM$20,""),
IF(AND(teacher_type="R",career_stage="HP"),
    IF(INDEX(RHPS[[Outstanding]:[Poor]],MATCH($BZ56,RHPS[[helper]:[helper]],0),CM$19)&lt;&gt;"",CM$20,""),
IF(AND(teacher_type="TB",career_stage="P"),
    IF(INDEX(TBPS[[Outstanding]:[Poor]],MATCH($BZ56,TBPS[[helper]:[helper]],0),CM$19)&lt;&gt;"",CM$20,""),
IF(AND(teacher_type="TB",career_stage="HP"),
    IF(INDEX(TBHPS[[Outstanding]:[Poor]],MATCH($BZ56,TBHPS[[helper]:[helper]],0),CM$19)&lt;&gt;"",CM$20,""),
CM$20)))),
CM$20),CM$20)</f>
        <v>3</v>
      </c>
      <c r="CN56" s="359" cm="1">
        <f t="array" ref="CN56">IFERROR(IF($BZ56&lt;&gt;"",
IF(AND(teacher_type="R",career_stage="P"),
    IF(INDEX(RPS[[Outstanding]:[Poor]],MATCH($BZ56,RPS[[helper]:[helper]],0),CN$19)&lt;&gt;"",CN$20,""),
IF(AND(teacher_type="R",career_stage="HP"),
    IF(INDEX(RHPS[[Outstanding]:[Poor]],MATCH($BZ56,RHPS[[helper]:[helper]],0),CN$19)&lt;&gt;"",CN$20,""),
IF(AND(teacher_type="TB",career_stage="P"),
    IF(INDEX(TBPS[[Outstanding]:[Poor]],MATCH($BZ56,TBPS[[helper]:[helper]],0),CN$19)&lt;&gt;"",CN$20,""),
IF(AND(teacher_type="TB",career_stage="HP"),
    IF(INDEX(TBHPS[[Outstanding]:[Poor]],MATCH($BZ56,TBHPS[[helper]:[helper]],0),CN$19)&lt;&gt;"",CN$20,""),
CN$20)))),
CN$20),CN$20)</f>
        <v>2</v>
      </c>
      <c r="CO56" s="359" cm="1">
        <f t="array" ref="CO56">IFERROR(IF($BZ56&lt;&gt;"",
IF(AND(teacher_type="R",career_stage="P"),
    IF(INDEX(RPS[[Outstanding]:[Poor]],MATCH($BZ56,RPS[[helper]:[helper]],0),CO$19)&lt;&gt;"",CO$20,""),
IF(AND(teacher_type="R",career_stage="HP"),
    IF(INDEX(RHPS[[Outstanding]:[Poor]],MATCH($BZ56,RHPS[[helper]:[helper]],0),CO$19)&lt;&gt;"",CO$20,""),
IF(AND(teacher_type="TB",career_stage="P"),
    IF(INDEX(TBPS[[Outstanding]:[Poor]],MATCH($BZ56,TBPS[[helper]:[helper]],0),CO$19)&lt;&gt;"",CO$20,""),
IF(AND(teacher_type="TB",career_stage="HP"),
    IF(INDEX(TBHPS[[Outstanding]:[Poor]],MATCH($BZ56,TBHPS[[helper]:[helper]],0),CO$19)&lt;&gt;"",CO$20,""),
CO$20)))),
CO$20),CO$20)</f>
        <v>1</v>
      </c>
      <c r="CP56" s="360">
        <f t="shared" si="28"/>
        <v>5</v>
      </c>
      <c r="CQ56" s="359" cm="1">
        <f t="array" ref="CQ56">IFERROR(IF($CA56&lt;&gt;"",
IF(AND(teacher_type="R",career_stage="P"),
    IF(INDEX(RPS[[Outstanding]:[Poor]],MATCH($CA56,RPS[[helper]:[helper]],0),CQ$19)&lt;&gt;"",CQ$20,""),
IF(AND(teacher_type="R",career_stage="HP"),
    IF(INDEX(RHPS[[Outstanding]:[Poor]],MATCH($CA56,RHPS[[helper]:[helper]],0),CQ$19)&lt;&gt;"",CQ$20,""),
IF(AND(teacher_type="TB",career_stage="P"),
    IF(INDEX(TBPS[[Outstanding]:[Poor]],MATCH($CA56,TBPS[[helper]:[helper]],0),CQ$19)&lt;&gt;"",CQ$20,""),
IF(AND(teacher_type="TB",career_stage="HP"),
    IF(INDEX(TBHPS[[Outstanding]:[Poor]],MATCH($CA56,TBHPS[[helper]:[helper]],0),CQ$19)&lt;&gt;"",CQ$20,""),
CQ$20)))),
CQ$20),CQ$20)</f>
        <v>5</v>
      </c>
      <c r="CR56" s="359" cm="1">
        <f t="array" ref="CR56">IFERROR(IF($CA56&lt;&gt;"",
IF(AND(teacher_type="R",career_stage="P"),
    IF(INDEX(RPS[[Outstanding]:[Poor]],MATCH($CA56,RPS[[helper]:[helper]],0),CR$19)&lt;&gt;"",CR$20,""),
IF(AND(teacher_type="R",career_stage="HP"),
    IF(INDEX(RHPS[[Outstanding]:[Poor]],MATCH($CA56,RHPS[[helper]:[helper]],0),CR$19)&lt;&gt;"",CR$20,""),
IF(AND(teacher_type="TB",career_stage="P"),
    IF(INDEX(TBPS[[Outstanding]:[Poor]],MATCH($CA56,TBPS[[helper]:[helper]],0),CR$19)&lt;&gt;"",CR$20,""),
IF(AND(teacher_type="TB",career_stage="HP"),
    IF(INDEX(TBHPS[[Outstanding]:[Poor]],MATCH($CA56,TBHPS[[helper]:[helper]],0),CR$19)&lt;&gt;"",CR$20,""),
CR$20)))),
CR$20),CR$20)</f>
        <v>4</v>
      </c>
      <c r="CS56" s="359" cm="1">
        <f t="array" ref="CS56">IFERROR(IF($CA56&lt;&gt;"",
IF(AND(teacher_type="R",career_stage="P"),
    IF(INDEX(RPS[[Outstanding]:[Poor]],MATCH($CA56,RPS[[helper]:[helper]],0),CS$19)&lt;&gt;"",CS$20,""),
IF(AND(teacher_type="R",career_stage="HP"),
    IF(INDEX(RHPS[[Outstanding]:[Poor]],MATCH($CA56,RHPS[[helper]:[helper]],0),CS$19)&lt;&gt;"",CS$20,""),
IF(AND(teacher_type="TB",career_stage="P"),
    IF(INDEX(TBPS[[Outstanding]:[Poor]],MATCH($CA56,TBPS[[helper]:[helper]],0),CS$19)&lt;&gt;"",CS$20,""),
IF(AND(teacher_type="TB",career_stage="HP"),
    IF(INDEX(TBHPS[[Outstanding]:[Poor]],MATCH($CA56,TBHPS[[helper]:[helper]],0),CS$19)&lt;&gt;"",CS$20,""),
CS$20)))),
CS$20),CS$20)</f>
        <v>3</v>
      </c>
      <c r="CT56" s="359" cm="1">
        <f t="array" ref="CT56">IFERROR(IF($CA56&lt;&gt;"",
IF(AND(teacher_type="R",career_stage="P"),
    IF(INDEX(RPS[[Outstanding]:[Poor]],MATCH($CA56,RPS[[helper]:[helper]],0),CT$19)&lt;&gt;"",CT$20,""),
IF(AND(teacher_type="R",career_stage="HP"),
    IF(INDEX(RHPS[[Outstanding]:[Poor]],MATCH($CA56,RHPS[[helper]:[helper]],0),CT$19)&lt;&gt;"",CT$20,""),
IF(AND(teacher_type="TB",career_stage="P"),
    IF(INDEX(TBPS[[Outstanding]:[Poor]],MATCH($CA56,TBPS[[helper]:[helper]],0),CT$19)&lt;&gt;"",CT$20,""),
IF(AND(teacher_type="TB",career_stage="HP"),
    IF(INDEX(TBHPS[[Outstanding]:[Poor]],MATCH($CA56,TBHPS[[helper]:[helper]],0),CT$19)&lt;&gt;"",CT$20,""),
CT$20)))),
CT$20),CT$20)</f>
        <v>2</v>
      </c>
      <c r="CU56" s="359" cm="1">
        <f t="array" ref="CU56">IFERROR(IF($CA56&lt;&gt;"",
IF(AND(teacher_type="R",career_stage="P"),
    IF(INDEX(RPS[[Outstanding]:[Poor]],MATCH($CA56,RPS[[helper]:[helper]],0),CU$19)&lt;&gt;"",CU$20,""),
IF(AND(teacher_type="R",career_stage="HP"),
    IF(INDEX(RHPS[[Outstanding]:[Poor]],MATCH($CA56,RHPS[[helper]:[helper]],0),CU$19)&lt;&gt;"",CU$20,""),
IF(AND(teacher_type="TB",career_stage="P"),
    IF(INDEX(TBPS[[Outstanding]:[Poor]],MATCH($CA56,TBPS[[helper]:[helper]],0),CU$19)&lt;&gt;"",CU$20,""),
IF(AND(teacher_type="TB",career_stage="HP"),
    IF(INDEX(TBHPS[[Outstanding]:[Poor]],MATCH($CA56,TBHPS[[helper]:[helper]],0),CU$19)&lt;&gt;"",CU$20,""),
CU$20)))),
CU$20),CU$20)</f>
        <v>1</v>
      </c>
      <c r="CV56" s="360">
        <f t="shared" si="29"/>
        <v>5</v>
      </c>
      <c r="CY56" s="443" t="b" cm="1">
        <f t="array" ref="CY56">IFERROR(AND(S$12,IF(AND($G56,$D56="COI"),
IF(AND(teacher_type="R",career_stage="P"),VLOOKUP($BF56,RPI[],COLUMN(RPI[cot1]),FALSE),
IF(AND(teacher_type="R",career_stage="HP"),VLOOKUP($BF56,RHPI[],COLUMN(RHPI[cot1]),FALSE),
IF(AND(teacher_type="TB",career_stage="P"),VLOOKUP($BF56,TBPI[],COLUMN(TBPI[cot1]),FALSE),
IF(AND(teacher_type="TB",career_stage="HP"),VLOOKUP($BF56,TBHPI[],COLUMN(TBHPI[cot1]),FALSE),FALSE)))),
FALSE)),FALSE)</f>
        <v>0</v>
      </c>
      <c r="CZ56" s="443" t="b">
        <f t="shared" si="30"/>
        <v>0</v>
      </c>
      <c r="DA56" s="443" t="b" cm="1">
        <f t="array" ref="DA56">IFERROR(AND(U$12,IF(AND($G56,$D56="COI"),
IF(AND(teacher_type="R",career_stage="P"),VLOOKUP($BF56,RPI[],COLUMN(RPI[cot2]),FALSE),
IF(AND(teacher_type="R",career_stage="HP"),VLOOKUP($BF56,RHPI[],COLUMN(RHPI[cot2]),FALSE),
IF(AND(teacher_type="TB",career_stage="P"),VLOOKUP($BF56,TBPI[],COLUMN(TBPI[cot2]),FALSE),
IF(AND(teacher_type="TB",career_stage="HP"),VLOOKUP($BF56,TBHPI[],COLUMN(TBHPI[cot2]),FALSE),FALSE)))),
FALSE)),FALSE)</f>
        <v>0</v>
      </c>
      <c r="DB56" s="443" t="b">
        <f t="shared" si="31"/>
        <v>0</v>
      </c>
      <c r="DC56" s="443" t="b" cm="1">
        <f t="array" ref="DC56">IFERROR(AND(W$12,IF(AND($G56,$D56="COI"),
IF(AND(teacher_type="R",career_stage="P"),VLOOKUP($BF56,RPI[],COLUMN(RPI[cot3]),FALSE),
IF(AND(teacher_type="R",career_stage="HP"),VLOOKUP($BF56,RHPI[],COLUMN(RHPI[cot3]),FALSE),
IF(AND(teacher_type="TB",career_stage="P"),VLOOKUP($BF56,TBPI[],COLUMN(TBPI[cot3]),FALSE),
IF(AND(teacher_type="TB",career_stage="HP"),VLOOKUP($BF56,TBHPI[],COLUMN(TBHPI[cot3]),FALSE),FALSE)))),
FALSE)),FALSE)</f>
        <v>0</v>
      </c>
      <c r="DD56" s="443" t="b">
        <f t="shared" si="32"/>
        <v>0</v>
      </c>
      <c r="DE56" s="443" t="b" cm="1">
        <f t="array" ref="DE56">IFERROR(AND(Y$12,IF(AND($G56,$D56="COI"),
IF(AND(teacher_type="R",career_stage="P"),VLOOKUP($BF56,RPI[],COLUMN(RPI[cot4]),FALSE),
IF(AND(teacher_type="R",career_stage="HP"),VLOOKUP($BF56,RHPI[],COLUMN(RHPI[cot4]),FALSE),
IF(AND(teacher_type="TB",career_stage="P"),VLOOKUP($BF56,TBPI[],COLUMN(TBPI[cot4]),FALSE),
IF(AND(teacher_type="TB",career_stage="HP"),VLOOKUP($BF56,TBHPI[],COLUMN(TBHPI[cot4]),FALSE),FALSE)))),
FALSE)),FALSE)</f>
        <v>0</v>
      </c>
      <c r="DF56" s="443" t="b">
        <f t="shared" si="33"/>
        <v>0</v>
      </c>
      <c r="DG56" s="150">
        <f t="shared" si="34"/>
        <v>0</v>
      </c>
      <c r="DH56" s="154">
        <f>IF(AND(CY56,LOWER(TRIM(S$20))=LOWER(TRIM(data2!$U$35))),1,0) +
IF(AND(DA56,LOWER(TRIM(U$20))=LOWER(TRIM(data2!$U$35))),1,0) +
IF(AND(DC56,LOWER(TRIM(W$20))=LOWER(TRIM(data2!$U$35))),1,0) +
IF(AND(DE56,LOWER(TRIM(Y$20))=LOWER(TRIM(data2!$U$35))),1,0)</f>
        <v>0</v>
      </c>
      <c r="DJ56" s="154">
        <f t="shared" si="35"/>
        <v>0</v>
      </c>
    </row>
    <row r="57" spans="1:114" s="154" customFormat="1" ht="24.95" customHeight="1" x14ac:dyDescent="0.25">
      <c r="A57" s="156"/>
      <c r="B57" s="154">
        <v>36</v>
      </c>
      <c r="C57" s="150" t="str">
        <f>IFERROR(IF(AND(teacher_type="R",career_stage="P"),VLOOKUP(O57,RPI[],COLUMNS(RPI[[Strand]:[admin_selected_coi_ncoi]]),FALSE),IF(AND(teacher_type="R",career_stage="HP"),VLOOKUP(O57,RHPI[],COLUMNS(RHPI[[Strand]:[admin_selected_coi_ncoi]]),FALSE),IF(AND(teacher_type="TB",career_stage="P"),VLOOKUP(O57,TBPI[],COLUMNS(TBPI[[Strand]:[admin_selected_coi_ncoi]]),FALSE),IF(AND(teacher_type="TB",career_stage="HP"),VLOOKUP(O57,TBHPI[],COLUMNS(TBHPI[[Strand]:[admin_selected_coi_ncoi]]),FALSE),"NCOI")))),"NCOI")</f>
        <v>NCOI</v>
      </c>
      <c r="D57" s="150" t="str">
        <f t="shared" si="10"/>
        <v>NCOI</v>
      </c>
      <c r="E57" s="150">
        <f>IFERROR(IF(AND(teacher_type="R",career_stage="P"),VLOOKUP($O57,RPI[[Strand]:[Domain]],COLUMNS(RPI[[Strand]:[Domain]]),FALSE),IF(AND(teacher_type="R",career_stage="HP"),VLOOKUP($O57,RHPI[[Strand]:[Domain]],COLUMNS(RHPI[[Strand]:[Domain]]),FALSE),IF(AND(teacher_type="TB",career_stage="P"),VLOOKUP($O57,TBPI[[Strand]:[Domain]],COLUMNS(TBPI[[Strand]:[Domain]]),FALSE),IF(AND(teacher_type="TB",career_stage="HP"),VLOOKUP($O57,TBHPI[[Strand]:[Domain]],COLUMNS(TBHPI[[Strand]:[Domain]]),FALSE),"")))),"")</f>
        <v>4</v>
      </c>
      <c r="F57" s="155" t="b">
        <f>AND(COUNTIFS($E$22:$E57,E57,$G$22:$G57,TRUE)=1,$G57)</f>
        <v>0</v>
      </c>
      <c r="G57" s="212" t="b">
        <f>IFERROR(IF(AND(teacher_type="R",career_stage="P"),VLOOKUP($O57,RPI[],COLUMNS(RPI[[Strand]:[Selected]]),FALSE),IF(AND(teacher_type="R",career_stage="HP"),VLOOKUP($O57,RHPI[],COLUMNS(RHPI[[Strand]:[Selected]]),FALSE),IF(AND(teacher_type="TB",career_stage="P"),VLOOKUP($O57,TBPI[],COLUMNS(TBPI[[Strand]:[Selected]]),FALSE),IF(AND(teacher_type="TB",career_stage="HP"),VLOOKUP($O57,TBHPI[],COLUMNS(TBHPI[[Strand]:[Selected]]),FALSE),FALSE)))),FALSE)</f>
        <v>1</v>
      </c>
      <c r="H57" s="156" t="b">
        <f>IFERROR(IF(AND(teacher_type="R",career_stage="P"),AND(COUNTIFS(RPS[Strand],$O57,RPS[QET],H$21)&gt;0,$G57),IF(AND(teacher_type="R",career_stage="HP"),AND(COUNTIFS(RHPS[Strand],$O57,RHPS[QET],H$21)&gt;0,$G57),IF(AND(teacher_type="TB",career_stage="P"),AND(COUNTIFS(TBPS[Strand],$O57,TBPS[QET],H$21)&gt;0,$G57),IF(AND(teacher_type="TB",career_stage="HP"),AND(COUNTIFS(TBHPS[Strand],$O57,TBHPS[QET],H$21)&gt;0,$G57),FALSE)))),FALSE)</f>
        <v>1</v>
      </c>
      <c r="I57" s="156" t="b">
        <f t="shared" si="11"/>
        <v>1</v>
      </c>
      <c r="J57" s="156" t="b">
        <f>IFERROR(IF(AND(teacher_type="R",career_stage="P"),AND(COUNTIFS(RPS[Strand],$O57,RPS[QET],J$21)&gt;0,$G57),IF(AND(teacher_type="R",career_stage="HP"),AND(COUNTIFS(RHPS[Strand],$O57,RHPS[QET],J$21)&gt;0,$G57),IF(AND(teacher_type="TB",career_stage="P"),AND(COUNTIFS(TBPS[Strand],$O57,TBPS[QET],J$21)&gt;0,$G57),IF(AND(teacher_type="TB",career_stage="HP"),AND(COUNTIFS(TBHPS[Strand],$O57,TBHPS[QET],J$21)&gt;0,$G57),FALSE)))),FALSE)</f>
        <v>1</v>
      </c>
      <c r="K57" s="156" t="b">
        <f>IFERROR(IF(AND(teacher_type="R",career_stage="P"),AND(COUNTIFS(RPS[Strand],$O57,RPS[QET],K$21)&gt;0,$G57),IF(AND(teacher_type="R",career_stage="HP"),AND(COUNTIFS(RHPS[Strand],$O57,RHPS[QET],K$21)&gt;0,$G57),IF(AND(teacher_type="TB",career_stage="P"),AND(COUNTIFS(TBPS[Strand],$O57,TBPS[QET],K$21)&gt;0,$G57),IF(AND(teacher_type="TB",career_stage="HP"),AND(COUNTIFS(TBHPS[Strand],$O57,TBHPS[QET],K$21)&gt;0,$G57),FALSE)))),FALSE)</f>
        <v>1</v>
      </c>
      <c r="L57" s="156" t="b">
        <f t="shared" si="12"/>
        <v>0</v>
      </c>
      <c r="M57" s="165" t="str">
        <f t="shared" si="13"/>
        <v/>
      </c>
      <c r="N57" s="48">
        <f>IF($G57,COUNTIF($G$22:$G57,TRUE),"")</f>
        <v>14</v>
      </c>
      <c r="O57" s="48" t="str" cm="1">
        <f t="array" ref="O57">IFERROR(IF(AND(teacher_type="R",career_stage="P"),INDEX(RPI[Strand],$B57),IF(AND(teacher_type="R",career_stage="HP"),INDEX(RHPI[Strand],$B57),IF(AND(teacher_type="TB",career_stage="P"),INDEX(TBPI[Strand],$B57),IF(AND(teacher_type="TB",career_stage="HP"),INDEX(TBHPI[Strand],$B57),"")))),"")</f>
        <v>7.4.2</v>
      </c>
      <c r="P57" s="166" t="str">
        <f>$C$57</f>
        <v>NCOI</v>
      </c>
      <c r="Q57" s="173">
        <f>IFERROR(IF(AND(teacher_type="R",career_stage="P"),VLOOKUP(O57,RPI[],COLUMNS(RPI[[Strand]:[Weight]]),FALSE), IF(AND(teacher_type="R",career_stage="HP"),VLOOKUP(O57,RHPI[],COLUMNS(RHPI[[Strand]:[Weight]]),FALSE), IF(AND(teacher_type="TB",career_stage="P"),VLOOKUP(O57,TBPI[],COLUMNS(TBPI[[Strand]:[Weight]]),FALSE), IF(AND(teacher_type="TB",career_stage="HP"),VLOOKUP(O57,TBHPI[],COLUMNS(TBHPI[[Strand]:[Weight]]),FALSE),0)))),0)</f>
        <v>7.0000000000000007E-2</v>
      </c>
      <c r="R57" s="174">
        <f>COUNTIFS($D$22:D57,"COI",$G$22:G57,TRUE)</f>
        <v>9</v>
      </c>
      <c r="S57" s="484"/>
      <c r="T57" s="175" t="str">
        <f>IFERROR(IF(LOWER(TRIM(S$20))=LOWER(TRIM(data2!$U$35)),"",IF(AND($G57,$D57="COI",S$12,CZ57),IF(OR(LOWER(TRIM(S$20))=LOWER(TRIM(data2!$U$36)),ISBLANK(S57)),1,IF(career_stage="P",VLOOKUP(S57,P_COT_vlookup,2,FALSE),IF(career_stage="HP",VLOOKUP(S57,HP_COT_vlookup,2,FALSE),""))),"")),"")</f>
        <v/>
      </c>
      <c r="U57" s="471"/>
      <c r="V57" s="176" t="str">
        <f>IFERROR(IF(LOWER(TRIM(U$20))=LOWER(TRIM(data2!$U$35)),"",IF(AND($G57,$D57="COI",U$12,DB57),IF(OR(LOWER(TRIM(U$20))=LOWER(TRIM(data2!$U$36)),ISBLANK(U57)),1,IF(career_stage="P",VLOOKUP(U57,P_COT_vlookup,2,FALSE),IF(career_stage="HP",VLOOKUP(U57,HP_COT_vlookup,2,FALSE),""))),"")),"")</f>
        <v/>
      </c>
      <c r="W57" s="484"/>
      <c r="X57" s="175" t="str">
        <f>IFERROR(IF(LOWER(TRIM(W$20))=LOWER(TRIM(data2!$U$35)),"",IF(AND($G57,$D57="COI",W$12,DD57),IF(OR(LOWER(TRIM(W$20))=LOWER(TRIM(data2!$U$36)),ISBLANK(W57)),1,IF(career_stage="P",VLOOKUP(W57,P_COT_vlookup,2,FALSE),IF(career_stage="HP",VLOOKUP(W57,HP_COT_vlookup,2,FALSE),""))),"")),"")</f>
        <v/>
      </c>
      <c r="Y57" s="471"/>
      <c r="Z57" s="176" t="str">
        <f>IFERROR(IF(LOWER(TRIM(Y$20))=LOWER(TRIM(data2!$U$35)),"",IF(AND($G57,$D57="COI",Y$12,DF57),IF(OR(LOWER(TRIM(Y$20))=LOWER(TRIM(data2!$U$36)),ISBLANK(Y57)),1,IF(career_stage="P",VLOOKUP(Y57,P_COT_vlookup,2,FALSE),IF(career_stage="HP",VLOOKUP(Y57,HP_COT_vlookup,2,FALSE),""))),"")),"")</f>
        <v/>
      </c>
      <c r="AA57" s="171">
        <f t="shared" si="14"/>
        <v>0</v>
      </c>
      <c r="AB57" s="459">
        <v>4</v>
      </c>
      <c r="AC57" s="463">
        <v>3</v>
      </c>
      <c r="AD57" s="462">
        <v>4</v>
      </c>
      <c r="AE57" s="49">
        <f t="shared" si="2"/>
        <v>3.6659999999999999</v>
      </c>
      <c r="AF57" s="49">
        <f t="shared" si="3"/>
        <v>0.25600000000000001</v>
      </c>
      <c r="AG57" s="172" t="str">
        <f t="shared" si="4"/>
        <v>Very Satisfactory</v>
      </c>
      <c r="AI57" s="196" t="b">
        <f t="shared" si="5"/>
        <v>1</v>
      </c>
      <c r="AJ57" s="154" t="b">
        <v>1</v>
      </c>
      <c r="AK57" s="154" t="b">
        <v>1</v>
      </c>
      <c r="AL57" s="196" t="b">
        <f t="shared" si="15"/>
        <v>1</v>
      </c>
      <c r="AM57" s="154" t="b">
        <v>1</v>
      </c>
      <c r="AN57" s="196" t="b">
        <f t="shared" si="15"/>
        <v>1</v>
      </c>
      <c r="AO57" s="154" t="b">
        <v>1</v>
      </c>
      <c r="AP57" s="196" t="b">
        <f t="shared" si="15"/>
        <v>1</v>
      </c>
      <c r="AQ57" s="154" t="b">
        <v>1</v>
      </c>
      <c r="AR57" s="196" t="b">
        <f t="shared" si="15"/>
        <v>1</v>
      </c>
      <c r="AS57" s="154" t="b">
        <v>1</v>
      </c>
      <c r="AT57" s="154" t="b">
        <v>1</v>
      </c>
      <c r="AU57" s="196" t="b">
        <f t="shared" si="6"/>
        <v>1</v>
      </c>
      <c r="AV57" s="196" t="b">
        <f t="shared" si="7"/>
        <v>1</v>
      </c>
      <c r="AW57" s="196" t="b">
        <f t="shared" si="8"/>
        <v>1</v>
      </c>
      <c r="AX57" s="47" t="b">
        <v>1</v>
      </c>
      <c r="AY57" s="47" t="b">
        <v>1</v>
      </c>
      <c r="AZ57" s="47" t="b">
        <v>1</v>
      </c>
      <c r="BF57" s="154" t="str">
        <f t="shared" si="9"/>
        <v>7.4.2</v>
      </c>
      <c r="BG57" s="196" t="b" cm="1">
        <f t="array" ref="BG57">IFERROR(IF(OR(LOWER(TRIM(S$20))=LOWER(TRIM(data2!$U$35)),LOWER(TRIM(S$20))=LOWER(TRIM(data2!$U$36))),FALSE,AND(S$12,IF(AND($G57,$D57="COI"),
IF(AND(teacher_type="R",career_stage="P"),VLOOKUP($BF57,RPI[],COLUMN(RPI[cot1]),FALSE),
IF(AND(teacher_type="R",career_stage="HP"),VLOOKUP($BF57,RHPI[],COLUMN(RHPI[cot1]),FALSE),
IF(AND(teacher_type="TB",career_stage="P"),VLOOKUP($BF57,TBPI[],COLUMN(TBPI[cot1]),FALSE),
IF(AND(teacher_type="TB",career_stage="HP"),VLOOKUP($BF57,TBHPI[],COLUMN(TBHPI[cot1]),FALSE),FALSE)))),
FALSE))),FALSE)</f>
        <v>0</v>
      </c>
      <c r="BH57" s="154" t="b">
        <v>0</v>
      </c>
      <c r="BI57" s="196" t="b" cm="1">
        <f t="array" ref="BI57">IFERROR(IF(OR(LOWER(TRIM(U$20))=LOWER(TRIM(data2!$U$35)),LOWER(TRIM(U$20))=LOWER(TRIM(data2!$U$36))),FALSE,AND(U$12,IF(AND($G57,$D57="COI"),
IF(AND(teacher_type="R",career_stage="P"),VLOOKUP($BF57,RPI[],COLUMN(RPI[cot2]),FALSE),
IF(AND(teacher_type="R",career_stage="HP"),VLOOKUP($BF57,RHPI[],COLUMN(RHPI[cot2]),FALSE),
IF(AND(teacher_type="TB",career_stage="P"),VLOOKUP($BF57,TBPI[],COLUMN(TBPI[cot2]),FALSE),
IF(AND(teacher_type="TB",career_stage="HP"),VLOOKUP($BF57,TBHPI[],COLUMN(TBHPI[cot2]),FALSE),FALSE)))),
FALSE))),FALSE)</f>
        <v>0</v>
      </c>
      <c r="BJ57" s="154" t="b">
        <v>0</v>
      </c>
      <c r="BK57" s="196" t="b" cm="1">
        <f t="array" ref="BK57">IFERROR(IF(OR(LOWER(TRIM(W$20))=LOWER(TRIM(data2!$U$35)),LOWER(TRIM(W$20))=LOWER(TRIM(data2!$U$36))),FALSE,AND(W$12,IF(AND($G57,$D57="COI"),
IF(AND(teacher_type="R",career_stage="P"),VLOOKUP($BF57,RPI[],COLUMN(RPI[cot3]),FALSE),
IF(AND(teacher_type="R",career_stage="HP"),VLOOKUP($BF57,RHPI[],COLUMN(RHPI[cot3]),FALSE),
IF(AND(teacher_type="TB",career_stage="P"),VLOOKUP($BF57,TBPI[],COLUMN(TBPI[cot3]),FALSE),
IF(AND(teacher_type="TB",career_stage="HP"),VLOOKUP($BF57,TBHPI[],COLUMN(TBHPI[cot3]),FALSE),FALSE)))),
FALSE))),FALSE)</f>
        <v>0</v>
      </c>
      <c r="BL57" s="154" t="b">
        <v>0</v>
      </c>
      <c r="BM57" s="196" t="b" cm="1">
        <f t="array" ref="BM57">IFERROR(IF(OR(LOWER(TRIM(Y$20))=LOWER(TRIM(data2!$U$35)),LOWER(TRIM(Y$20))=LOWER(TRIM(data2!$U$36))),FALSE,AND(Y$12,IF(AND($G57,$D57="COI"),
IF(AND(teacher_type="R",career_stage="P"),VLOOKUP($BF57,RPI[],COLUMN(RPI[cot4]),FALSE),
IF(AND(teacher_type="R",career_stage="HP"),VLOOKUP($BF57,RHPI[],COLUMN(RHPI[cot4]),FALSE),
IF(AND(teacher_type="TB",career_stage="P"),VLOOKUP($BF57,TBPI[],COLUMN(TBPI[cot4]),FALSE),
IF(AND(teacher_type="TB",career_stage="HP"),VLOOKUP($BF57,TBHPI[],COLUMN(TBHPI[cot4]),FALSE),FALSE)))),
FALSE))),FALSE)</f>
        <v>0</v>
      </c>
      <c r="BN57" s="154" t="b">
        <v>0</v>
      </c>
      <c r="BO57" s="150">
        <f t="shared" si="16"/>
        <v>0</v>
      </c>
      <c r="BP57" s="196" t="b">
        <f t="shared" si="17"/>
        <v>0</v>
      </c>
      <c r="BQ57" s="196" t="b">
        <f>IFERROR(IF(OR(NOT(CZ57),LOWER(TRIM(S$20))=LOWER(TRIM(data2!$U$35))),TRUE,IF(AND(CZ57,LOWER(TRIM(S$20))=LOWER(TRIM(data2!$U$36))),FALSE)),FALSE)</f>
        <v>1</v>
      </c>
      <c r="BR57" s="196" t="b">
        <f t="shared" si="18"/>
        <v>0</v>
      </c>
      <c r="BS57" s="196" t="b">
        <f>IFERROR(IF(OR(NOT(DB57),LOWER(TRIM(U$20))=LOWER(TRIM(data2!$U$35))),TRUE,IF(AND(DB57,LOWER(TRIM(U$20))=LOWER(TRIM(data2!$U$36))),FALSE)),FALSE)</f>
        <v>1</v>
      </c>
      <c r="BT57" s="196" t="b">
        <f t="shared" si="19"/>
        <v>0</v>
      </c>
      <c r="BU57" s="196" t="b">
        <f>IFERROR(IF(OR(NOT(DD57),LOWER(TRIM(W$20))=LOWER(TRIM(data2!$U$35))),TRUE,IF(AND(DD57,LOWER(TRIM(W$20))=LOWER(TRIM(data2!$U$36))),FALSE)),FALSE)</f>
        <v>1</v>
      </c>
      <c r="BV57" s="196" t="b">
        <f t="shared" si="20"/>
        <v>0</v>
      </c>
      <c r="BW57" s="196" t="b">
        <f>IFERROR(IF(OR(NOT(DF57),LOWER(TRIM(Y$20))=LOWER(TRIM(data2!$U$35))),TRUE,IF(AND(DF57,LOWER(TRIM(Y$20))=LOWER(TRIM(data2!$U$36))),FALSE)),FALSE)</f>
        <v>1</v>
      </c>
      <c r="BY57" s="154" t="str">
        <f t="shared" si="21"/>
        <v>7.4.2-Q-NCOI</v>
      </c>
      <c r="BZ57" s="154" t="str">
        <f t="shared" si="22"/>
        <v>7.4.2-E-NCOI</v>
      </c>
      <c r="CA57" s="154" t="str">
        <f t="shared" si="23"/>
        <v>7.4.2-T-NCOI</v>
      </c>
      <c r="CB57" s="154" t="str">
        <f t="shared" si="24"/>
        <v>CE57:CI57</v>
      </c>
      <c r="CC57" s="154" t="str">
        <f t="shared" si="25"/>
        <v>CK57:CO57</v>
      </c>
      <c r="CD57" s="154" t="str">
        <f t="shared" si="26"/>
        <v>CQ57:CU57</v>
      </c>
      <c r="CE57" s="359" cm="1">
        <f t="array" ref="CE57">IFERROR(IF($BY57&lt;&gt;"",
IF(AND(teacher_type="R",career_stage="P"),
    IF(INDEX(RPS[[Outstanding]:[Poor]],MATCH($BY57,RPS[[helper]:[helper]],0),CE$19)&lt;&gt;"",CE$20,""),
IF(AND(teacher_type="R",career_stage="HP"),
    IF(INDEX(RHPS[[Outstanding]:[Poor]],MATCH($BY57,RHPS[[helper]:[helper]],0),CE$19)&lt;&gt;"",CE$20,""),
IF(AND(teacher_type="TB",career_stage="P"),
    IF(INDEX(TBPS[[Outstanding]:[Poor]],MATCH($BY57,TBPS[[helper]:[helper]],0),CE$19)&lt;&gt;"",CE$20,""),
IF(AND(teacher_type="TB",career_stage="HP"),
    IF(INDEX(TBHPS[[Outstanding]:[Poor]],MATCH($BY57,TBHPS[[helper]:[helper]],0),CE$19)&lt;&gt;"",CE$20,""),
CE$20)))),
CE$20),CE$20)</f>
        <v>5</v>
      </c>
      <c r="CF57" s="359" cm="1">
        <f t="array" ref="CF57">IFERROR(IF($BY57&lt;&gt;"",
IF(AND(teacher_type="R",career_stage="P"),
    IF(INDEX(RPS[[Outstanding]:[Poor]],MATCH($BY57,RPS[[helper]:[helper]],0),CF$19)&lt;&gt;"",CF$20,""),
IF(AND(teacher_type="R",career_stage="HP"),
    IF(INDEX(RHPS[[Outstanding]:[Poor]],MATCH($BY57,RHPS[[helper]:[helper]],0),CF$19)&lt;&gt;"",CF$20,""),
IF(AND(teacher_type="TB",career_stage="P"),
    IF(INDEX(TBPS[[Outstanding]:[Poor]],MATCH($BY57,TBPS[[helper]:[helper]],0),CF$19)&lt;&gt;"",CF$20,""),
IF(AND(teacher_type="TB",career_stage="HP"),
    IF(INDEX(TBHPS[[Outstanding]:[Poor]],MATCH($BY57,TBHPS[[helper]:[helper]],0),CF$19)&lt;&gt;"",CF$20,""),
CF$20)))),
CF$20),CF$20)</f>
        <v>4</v>
      </c>
      <c r="CG57" s="359" cm="1">
        <f t="array" ref="CG57">IFERROR(IF($BY57&lt;&gt;"",
IF(AND(teacher_type="R",career_stage="P"),
    IF(INDEX(RPS[[Outstanding]:[Poor]],MATCH($BY57,RPS[[helper]:[helper]],0),CG$19)&lt;&gt;"",CG$20,""),
IF(AND(teacher_type="R",career_stage="HP"),
    IF(INDEX(RHPS[[Outstanding]:[Poor]],MATCH($BY57,RHPS[[helper]:[helper]],0),CG$19)&lt;&gt;"",CG$20,""),
IF(AND(teacher_type="TB",career_stage="P"),
    IF(INDEX(TBPS[[Outstanding]:[Poor]],MATCH($BY57,TBPS[[helper]:[helper]],0),CG$19)&lt;&gt;"",CG$20,""),
IF(AND(teacher_type="TB",career_stage="HP"),
    IF(INDEX(TBHPS[[Outstanding]:[Poor]],MATCH($BY57,TBHPS[[helper]:[helper]],0),CG$19)&lt;&gt;"",CG$20,""),
CG$20)))),
CG$20),CG$20)</f>
        <v>3</v>
      </c>
      <c r="CH57" s="359" cm="1">
        <f t="array" ref="CH57">IFERROR(IF($BY57&lt;&gt;"",
IF(AND(teacher_type="R",career_stage="P"),
    IF(INDEX(RPS[[Outstanding]:[Poor]],MATCH($BY57,RPS[[helper]:[helper]],0),CH$19)&lt;&gt;"",CH$20,""),
IF(AND(teacher_type="R",career_stage="HP"),
    IF(INDEX(RHPS[[Outstanding]:[Poor]],MATCH($BY57,RHPS[[helper]:[helper]],0),CH$19)&lt;&gt;"",CH$20,""),
IF(AND(teacher_type="TB",career_stage="P"),
    IF(INDEX(TBPS[[Outstanding]:[Poor]],MATCH($BY57,TBPS[[helper]:[helper]],0),CH$19)&lt;&gt;"",CH$20,""),
IF(AND(teacher_type="TB",career_stage="HP"),
    IF(INDEX(TBHPS[[Outstanding]:[Poor]],MATCH($BY57,TBHPS[[helper]:[helper]],0),CH$19)&lt;&gt;"",CH$20,""),
CH$20)))),
CH$20),CH$20)</f>
        <v>2</v>
      </c>
      <c r="CI57" s="359" cm="1">
        <f t="array" ref="CI57">IFERROR(IF($BY57&lt;&gt;"",
IF(AND(teacher_type="R",career_stage="P"),
    IF(INDEX(RPS[[Outstanding]:[Poor]],MATCH($BY57,RPS[[helper]:[helper]],0),CI$19)&lt;&gt;"",CI$20,""),
IF(AND(teacher_type="R",career_stage="HP"),
    IF(INDEX(RHPS[[Outstanding]:[Poor]],MATCH($BY57,RHPS[[helper]:[helper]],0),CI$19)&lt;&gt;"",CI$20,""),
IF(AND(teacher_type="TB",career_stage="P"),
    IF(INDEX(TBPS[[Outstanding]:[Poor]],MATCH($BY57,TBPS[[helper]:[helper]],0),CI$19)&lt;&gt;"",CI$20,""),
IF(AND(teacher_type="TB",career_stage="HP"),
    IF(INDEX(TBHPS[[Outstanding]:[Poor]],MATCH($BY57,TBHPS[[helper]:[helper]],0),CI$19)&lt;&gt;"",CI$20,""),
CI$20)))),
CI$20),CI$20)</f>
        <v>1</v>
      </c>
      <c r="CJ57" s="360">
        <f t="shared" si="27"/>
        <v>5</v>
      </c>
      <c r="CK57" s="359" cm="1">
        <f t="array" ref="CK57">IFERROR(IF($BZ57&lt;&gt;"",
IF(AND(teacher_type="R",career_stage="P"),
    IF(INDEX(RPS[[Outstanding]:[Poor]],MATCH($BZ57,RPS[[helper]:[helper]],0),CK$19)&lt;&gt;"",CK$20,""),
IF(AND(teacher_type="R",career_stage="HP"),
    IF(INDEX(RHPS[[Outstanding]:[Poor]],MATCH($BZ57,RHPS[[helper]:[helper]],0),CK$19)&lt;&gt;"",CK$20,""),
IF(AND(teacher_type="TB",career_stage="P"),
    IF(INDEX(TBPS[[Outstanding]:[Poor]],MATCH($BZ57,TBPS[[helper]:[helper]],0),CK$19)&lt;&gt;"",CK$20,""),
IF(AND(teacher_type="TB",career_stage="HP"),
    IF(INDEX(TBHPS[[Outstanding]:[Poor]],MATCH($BZ57,TBHPS[[helper]:[helper]],0),CK$19)&lt;&gt;"",CK$20,""),
CK$20)))),
CK$20),CK$20)</f>
        <v>5</v>
      </c>
      <c r="CL57" s="359" cm="1">
        <f t="array" ref="CL57">IFERROR(IF($BZ57&lt;&gt;"",
IF(AND(teacher_type="R",career_stage="P"),
    IF(INDEX(RPS[[Outstanding]:[Poor]],MATCH($BZ57,RPS[[helper]:[helper]],0),CL$19)&lt;&gt;"",CL$20,""),
IF(AND(teacher_type="R",career_stage="HP"),
    IF(INDEX(RHPS[[Outstanding]:[Poor]],MATCH($BZ57,RHPS[[helper]:[helper]],0),CL$19)&lt;&gt;"",CL$20,""),
IF(AND(teacher_type="TB",career_stage="P"),
    IF(INDEX(TBPS[[Outstanding]:[Poor]],MATCH($BZ57,TBPS[[helper]:[helper]],0),CL$19)&lt;&gt;"",CL$20,""),
IF(AND(teacher_type="TB",career_stage="HP"),
    IF(INDEX(TBHPS[[Outstanding]:[Poor]],MATCH($BZ57,TBHPS[[helper]:[helper]],0),CL$19)&lt;&gt;"",CL$20,""),
CL$20)))),
CL$20),CL$20)</f>
        <v>4</v>
      </c>
      <c r="CM57" s="359" cm="1">
        <f t="array" ref="CM57">IFERROR(IF($BZ57&lt;&gt;"",
IF(AND(teacher_type="R",career_stage="P"),
    IF(INDEX(RPS[[Outstanding]:[Poor]],MATCH($BZ57,RPS[[helper]:[helper]],0),CM$19)&lt;&gt;"",CM$20,""),
IF(AND(teacher_type="R",career_stage="HP"),
    IF(INDEX(RHPS[[Outstanding]:[Poor]],MATCH($BZ57,RHPS[[helper]:[helper]],0),CM$19)&lt;&gt;"",CM$20,""),
IF(AND(teacher_type="TB",career_stage="P"),
    IF(INDEX(TBPS[[Outstanding]:[Poor]],MATCH($BZ57,TBPS[[helper]:[helper]],0),CM$19)&lt;&gt;"",CM$20,""),
IF(AND(teacher_type="TB",career_stage="HP"),
    IF(INDEX(TBHPS[[Outstanding]:[Poor]],MATCH($BZ57,TBHPS[[helper]:[helper]],0),CM$19)&lt;&gt;"",CM$20,""),
CM$20)))),
CM$20),CM$20)</f>
        <v>3</v>
      </c>
      <c r="CN57" s="359" cm="1">
        <f t="array" ref="CN57">IFERROR(IF($BZ57&lt;&gt;"",
IF(AND(teacher_type="R",career_stage="P"),
    IF(INDEX(RPS[[Outstanding]:[Poor]],MATCH($BZ57,RPS[[helper]:[helper]],0),CN$19)&lt;&gt;"",CN$20,""),
IF(AND(teacher_type="R",career_stage="HP"),
    IF(INDEX(RHPS[[Outstanding]:[Poor]],MATCH($BZ57,RHPS[[helper]:[helper]],0),CN$19)&lt;&gt;"",CN$20,""),
IF(AND(teacher_type="TB",career_stage="P"),
    IF(INDEX(TBPS[[Outstanding]:[Poor]],MATCH($BZ57,TBPS[[helper]:[helper]],0),CN$19)&lt;&gt;"",CN$20,""),
IF(AND(teacher_type="TB",career_stage="HP"),
    IF(INDEX(TBHPS[[Outstanding]:[Poor]],MATCH($BZ57,TBHPS[[helper]:[helper]],0),CN$19)&lt;&gt;"",CN$20,""),
CN$20)))),
CN$20),CN$20)</f>
        <v>2</v>
      </c>
      <c r="CO57" s="359" cm="1">
        <f t="array" ref="CO57">IFERROR(IF($BZ57&lt;&gt;"",
IF(AND(teacher_type="R",career_stage="P"),
    IF(INDEX(RPS[[Outstanding]:[Poor]],MATCH($BZ57,RPS[[helper]:[helper]],0),CO$19)&lt;&gt;"",CO$20,""),
IF(AND(teacher_type="R",career_stage="HP"),
    IF(INDEX(RHPS[[Outstanding]:[Poor]],MATCH($BZ57,RHPS[[helper]:[helper]],0),CO$19)&lt;&gt;"",CO$20,""),
IF(AND(teacher_type="TB",career_stage="P"),
    IF(INDEX(TBPS[[Outstanding]:[Poor]],MATCH($BZ57,TBPS[[helper]:[helper]],0),CO$19)&lt;&gt;"",CO$20,""),
IF(AND(teacher_type="TB",career_stage="HP"),
    IF(INDEX(TBHPS[[Outstanding]:[Poor]],MATCH($BZ57,TBHPS[[helper]:[helper]],0),CO$19)&lt;&gt;"",CO$20,""),
CO$20)))),
CO$20),CO$20)</f>
        <v>1</v>
      </c>
      <c r="CP57" s="360">
        <f t="shared" si="28"/>
        <v>5</v>
      </c>
      <c r="CQ57" s="359" cm="1">
        <f t="array" ref="CQ57">IFERROR(IF($CA57&lt;&gt;"",
IF(AND(teacher_type="R",career_stage="P"),
    IF(INDEX(RPS[[Outstanding]:[Poor]],MATCH($CA57,RPS[[helper]:[helper]],0),CQ$19)&lt;&gt;"",CQ$20,""),
IF(AND(teacher_type="R",career_stage="HP"),
    IF(INDEX(RHPS[[Outstanding]:[Poor]],MATCH($CA57,RHPS[[helper]:[helper]],0),CQ$19)&lt;&gt;"",CQ$20,""),
IF(AND(teacher_type="TB",career_stage="P"),
    IF(INDEX(TBPS[[Outstanding]:[Poor]],MATCH($CA57,TBPS[[helper]:[helper]],0),CQ$19)&lt;&gt;"",CQ$20,""),
IF(AND(teacher_type="TB",career_stage="HP"),
    IF(INDEX(TBHPS[[Outstanding]:[Poor]],MATCH($CA57,TBHPS[[helper]:[helper]],0),CQ$19)&lt;&gt;"",CQ$20,""),
CQ$20)))),
CQ$20),CQ$20)</f>
        <v>5</v>
      </c>
      <c r="CR57" s="359" cm="1">
        <f t="array" ref="CR57">IFERROR(IF($CA57&lt;&gt;"",
IF(AND(teacher_type="R",career_stage="P"),
    IF(INDEX(RPS[[Outstanding]:[Poor]],MATCH($CA57,RPS[[helper]:[helper]],0),CR$19)&lt;&gt;"",CR$20,""),
IF(AND(teacher_type="R",career_stage="HP"),
    IF(INDEX(RHPS[[Outstanding]:[Poor]],MATCH($CA57,RHPS[[helper]:[helper]],0),CR$19)&lt;&gt;"",CR$20,""),
IF(AND(teacher_type="TB",career_stage="P"),
    IF(INDEX(TBPS[[Outstanding]:[Poor]],MATCH($CA57,TBPS[[helper]:[helper]],0),CR$19)&lt;&gt;"",CR$20,""),
IF(AND(teacher_type="TB",career_stage="HP"),
    IF(INDEX(TBHPS[[Outstanding]:[Poor]],MATCH($CA57,TBHPS[[helper]:[helper]],0),CR$19)&lt;&gt;"",CR$20,""),
CR$20)))),
CR$20),CR$20)</f>
        <v>4</v>
      </c>
      <c r="CS57" s="359" cm="1">
        <f t="array" ref="CS57">IFERROR(IF($CA57&lt;&gt;"",
IF(AND(teacher_type="R",career_stage="P"),
    IF(INDEX(RPS[[Outstanding]:[Poor]],MATCH($CA57,RPS[[helper]:[helper]],0),CS$19)&lt;&gt;"",CS$20,""),
IF(AND(teacher_type="R",career_stage="HP"),
    IF(INDEX(RHPS[[Outstanding]:[Poor]],MATCH($CA57,RHPS[[helper]:[helper]],0),CS$19)&lt;&gt;"",CS$20,""),
IF(AND(teacher_type="TB",career_stage="P"),
    IF(INDEX(TBPS[[Outstanding]:[Poor]],MATCH($CA57,TBPS[[helper]:[helper]],0),CS$19)&lt;&gt;"",CS$20,""),
IF(AND(teacher_type="TB",career_stage="HP"),
    IF(INDEX(TBHPS[[Outstanding]:[Poor]],MATCH($CA57,TBHPS[[helper]:[helper]],0),CS$19)&lt;&gt;"",CS$20,""),
CS$20)))),
CS$20),CS$20)</f>
        <v>3</v>
      </c>
      <c r="CT57" s="359" cm="1">
        <f t="array" ref="CT57">IFERROR(IF($CA57&lt;&gt;"",
IF(AND(teacher_type="R",career_stage="P"),
    IF(INDEX(RPS[[Outstanding]:[Poor]],MATCH($CA57,RPS[[helper]:[helper]],0),CT$19)&lt;&gt;"",CT$20,""),
IF(AND(teacher_type="R",career_stage="HP"),
    IF(INDEX(RHPS[[Outstanding]:[Poor]],MATCH($CA57,RHPS[[helper]:[helper]],0),CT$19)&lt;&gt;"",CT$20,""),
IF(AND(teacher_type="TB",career_stage="P"),
    IF(INDEX(TBPS[[Outstanding]:[Poor]],MATCH($CA57,TBPS[[helper]:[helper]],0),CT$19)&lt;&gt;"",CT$20,""),
IF(AND(teacher_type="TB",career_stage="HP"),
    IF(INDEX(TBHPS[[Outstanding]:[Poor]],MATCH($CA57,TBHPS[[helper]:[helper]],0),CT$19)&lt;&gt;"",CT$20,""),
CT$20)))),
CT$20),CT$20)</f>
        <v>2</v>
      </c>
      <c r="CU57" s="359" cm="1">
        <f t="array" ref="CU57">IFERROR(IF($CA57&lt;&gt;"",
IF(AND(teacher_type="R",career_stage="P"),
    IF(INDEX(RPS[[Outstanding]:[Poor]],MATCH($CA57,RPS[[helper]:[helper]],0),CU$19)&lt;&gt;"",CU$20,""),
IF(AND(teacher_type="R",career_stage="HP"),
    IF(INDEX(RHPS[[Outstanding]:[Poor]],MATCH($CA57,RHPS[[helper]:[helper]],0),CU$19)&lt;&gt;"",CU$20,""),
IF(AND(teacher_type="TB",career_stage="P"),
    IF(INDEX(TBPS[[Outstanding]:[Poor]],MATCH($CA57,TBPS[[helper]:[helper]],0),CU$19)&lt;&gt;"",CU$20,""),
IF(AND(teacher_type="TB",career_stage="HP"),
    IF(INDEX(TBHPS[[Outstanding]:[Poor]],MATCH($CA57,TBHPS[[helper]:[helper]],0),CU$19)&lt;&gt;"",CU$20,""),
CU$20)))),
CU$20),CU$20)</f>
        <v>1</v>
      </c>
      <c r="CV57" s="360">
        <f t="shared" si="29"/>
        <v>5</v>
      </c>
      <c r="CY57" s="443" t="b" cm="1">
        <f t="array" ref="CY57">IFERROR(AND(S$12,IF(AND($G57,$D57="COI"),
IF(AND(teacher_type="R",career_stage="P"),VLOOKUP($BF57,RPI[],COLUMN(RPI[cot1]),FALSE),
IF(AND(teacher_type="R",career_stage="HP"),VLOOKUP($BF57,RHPI[],COLUMN(RHPI[cot1]),FALSE),
IF(AND(teacher_type="TB",career_stage="P"),VLOOKUP($BF57,TBPI[],COLUMN(TBPI[cot1]),FALSE),
IF(AND(teacher_type="TB",career_stage="HP"),VLOOKUP($BF57,TBHPI[],COLUMN(TBHPI[cot1]),FALSE),FALSE)))),
FALSE)),FALSE)</f>
        <v>0</v>
      </c>
      <c r="CZ57" s="443" t="b">
        <f t="shared" si="30"/>
        <v>0</v>
      </c>
      <c r="DA57" s="443" t="b" cm="1">
        <f t="array" ref="DA57">IFERROR(AND(U$12,IF(AND($G57,$D57="COI"),
IF(AND(teacher_type="R",career_stage="P"),VLOOKUP($BF57,RPI[],COLUMN(RPI[cot2]),FALSE),
IF(AND(teacher_type="R",career_stage="HP"),VLOOKUP($BF57,RHPI[],COLUMN(RHPI[cot2]),FALSE),
IF(AND(teacher_type="TB",career_stage="P"),VLOOKUP($BF57,TBPI[],COLUMN(TBPI[cot2]),FALSE),
IF(AND(teacher_type="TB",career_stage="HP"),VLOOKUP($BF57,TBHPI[],COLUMN(TBHPI[cot2]),FALSE),FALSE)))),
FALSE)),FALSE)</f>
        <v>0</v>
      </c>
      <c r="DB57" s="443" t="b">
        <f t="shared" si="31"/>
        <v>0</v>
      </c>
      <c r="DC57" s="443" t="b" cm="1">
        <f t="array" ref="DC57">IFERROR(AND(W$12,IF(AND($G57,$D57="COI"),
IF(AND(teacher_type="R",career_stage="P"),VLOOKUP($BF57,RPI[],COLUMN(RPI[cot3]),FALSE),
IF(AND(teacher_type="R",career_stage="HP"),VLOOKUP($BF57,RHPI[],COLUMN(RHPI[cot3]),FALSE),
IF(AND(teacher_type="TB",career_stage="P"),VLOOKUP($BF57,TBPI[],COLUMN(TBPI[cot3]),FALSE),
IF(AND(teacher_type="TB",career_stage="HP"),VLOOKUP($BF57,TBHPI[],COLUMN(TBHPI[cot3]),FALSE),FALSE)))),
FALSE)),FALSE)</f>
        <v>0</v>
      </c>
      <c r="DD57" s="443" t="b">
        <f t="shared" si="32"/>
        <v>0</v>
      </c>
      <c r="DE57" s="443" t="b" cm="1">
        <f t="array" ref="DE57">IFERROR(AND(Y$12,IF(AND($G57,$D57="COI"),
IF(AND(teacher_type="R",career_stage="P"),VLOOKUP($BF57,RPI[],COLUMN(RPI[cot4]),FALSE),
IF(AND(teacher_type="R",career_stage="HP"),VLOOKUP($BF57,RHPI[],COLUMN(RHPI[cot4]),FALSE),
IF(AND(teacher_type="TB",career_stage="P"),VLOOKUP($BF57,TBPI[],COLUMN(TBPI[cot4]),FALSE),
IF(AND(teacher_type="TB",career_stage="HP"),VLOOKUP($BF57,TBHPI[],COLUMN(TBHPI[cot4]),FALSE),FALSE)))),
FALSE)),FALSE)</f>
        <v>0</v>
      </c>
      <c r="DF57" s="443" t="b">
        <f t="shared" si="33"/>
        <v>0</v>
      </c>
      <c r="DG57" s="150">
        <f t="shared" si="34"/>
        <v>0</v>
      </c>
      <c r="DH57" s="154">
        <f>IF(AND(CY57,LOWER(TRIM(S$20))=LOWER(TRIM(data2!$U$35))),1,0) +
IF(AND(DA57,LOWER(TRIM(U$20))=LOWER(TRIM(data2!$U$35))),1,0) +
IF(AND(DC57,LOWER(TRIM(W$20))=LOWER(TRIM(data2!$U$35))),1,0) +
IF(AND(DE57,LOWER(TRIM(Y$20))=LOWER(TRIM(data2!$U$35))),1,0)</f>
        <v>0</v>
      </c>
      <c r="DJ57" s="154">
        <f t="shared" si="35"/>
        <v>0</v>
      </c>
    </row>
    <row r="58" spans="1:114" s="154" customFormat="1" ht="24.95" hidden="1" customHeight="1" x14ac:dyDescent="0.25">
      <c r="A58" s="156"/>
      <c r="B58" s="154">
        <v>37</v>
      </c>
      <c r="C58" s="150" t="str">
        <f>IFERROR(IF(AND(teacher_type="R",career_stage="P"),VLOOKUP(O58,RPI[],COLUMNS(RPI[[Strand]:[admin_selected_coi_ncoi]]),FALSE),IF(AND(teacher_type="R",career_stage="HP"),VLOOKUP(O58,RHPI[],COLUMNS(RHPI[[Strand]:[admin_selected_coi_ncoi]]),FALSE),IF(AND(teacher_type="TB",career_stage="P"),VLOOKUP(O58,TBPI[],COLUMNS(TBPI[[Strand]:[admin_selected_coi_ncoi]]),FALSE),IF(AND(teacher_type="TB",career_stage="HP"),VLOOKUP(O58,TBHPI[],COLUMNS(TBHPI[[Strand]:[admin_selected_coi_ncoi]]),FALSE),"NCOI")))),"NCOI")</f>
        <v>NCOI</v>
      </c>
      <c r="D58" s="150" t="str">
        <f t="shared" si="10"/>
        <v/>
      </c>
      <c r="E58" s="150">
        <f>IFERROR(IF(AND(teacher_type="R",career_stage="P"),VLOOKUP($O58,RPI[[Strand]:[Domain]],COLUMNS(RPI[[Strand]:[Domain]]),FALSE),IF(AND(teacher_type="R",career_stage="HP"),VLOOKUP($O58,RHPI[[Strand]:[Domain]],COLUMNS(RHPI[[Strand]:[Domain]]),FALSE),IF(AND(teacher_type="TB",career_stage="P"),VLOOKUP($O58,TBPI[[Strand]:[Domain]],COLUMNS(TBPI[[Strand]:[Domain]]),FALSE),IF(AND(teacher_type="TB",career_stage="HP"),VLOOKUP($O58,TBHPI[[Strand]:[Domain]],COLUMNS(TBHPI[[Strand]:[Domain]]),FALSE),"")))),"")</f>
        <v>5</v>
      </c>
      <c r="F58" s="155" t="b">
        <f>AND(COUNTIFS($E$22:$E58,E58,$G$22:$G58,TRUE)=1,$G58)</f>
        <v>0</v>
      </c>
      <c r="G58" s="212" t="b">
        <f>IFERROR(IF(AND(teacher_type="R",career_stage="P"),VLOOKUP($O58,RPI[],COLUMNS(RPI[[Strand]:[Selected]]),FALSE),IF(AND(teacher_type="R",career_stage="HP"),VLOOKUP($O58,RHPI[],COLUMNS(RHPI[[Strand]:[Selected]]),FALSE),IF(AND(teacher_type="TB",career_stage="P"),VLOOKUP($O58,TBPI[],COLUMNS(TBPI[[Strand]:[Selected]]),FALSE),IF(AND(teacher_type="TB",career_stage="HP"),VLOOKUP($O58,TBHPI[],COLUMNS(TBHPI[[Strand]:[Selected]]),FALSE),FALSE)))),FALSE)</f>
        <v>0</v>
      </c>
      <c r="H58" s="156" t="b">
        <f>IFERROR(IF(AND(teacher_type="R",career_stage="P"),AND(COUNTIFS(RPS[Strand],$O58,RPS[QET],H$21)&gt;0,$G58),IF(AND(teacher_type="R",career_stage="HP"),AND(COUNTIFS(RHPS[Strand],$O58,RHPS[QET],H$21)&gt;0,$G58),IF(AND(teacher_type="TB",career_stage="P"),AND(COUNTIFS(TBPS[Strand],$O58,TBPS[QET],H$21)&gt;0,$G58),IF(AND(teacher_type="TB",career_stage="HP"),AND(COUNTIFS(TBHPS[Strand],$O58,TBHPS[QET],H$21)&gt;0,$G58),FALSE)))),FALSE)</f>
        <v>0</v>
      </c>
      <c r="I58" s="156" t="b">
        <f t="shared" si="11"/>
        <v>0</v>
      </c>
      <c r="J58" s="156" t="b">
        <f>IFERROR(IF(AND(teacher_type="R",career_stage="P"),AND(COUNTIFS(RPS[Strand],$O58,RPS[QET],J$21)&gt;0,$G58),IF(AND(teacher_type="R",career_stage="HP"),AND(COUNTIFS(RHPS[Strand],$O58,RHPS[QET],J$21)&gt;0,$G58),IF(AND(teacher_type="TB",career_stage="P"),AND(COUNTIFS(TBPS[Strand],$O58,TBPS[QET],J$21)&gt;0,$G58),IF(AND(teacher_type="TB",career_stage="HP"),AND(COUNTIFS(TBHPS[Strand],$O58,TBHPS[QET],J$21)&gt;0,$G58),FALSE)))),FALSE)</f>
        <v>0</v>
      </c>
      <c r="K58" s="156" t="b">
        <f>IFERROR(IF(AND(teacher_type="R",career_stage="P"),AND(COUNTIFS(RPS[Strand],$O58,RPS[QET],K$21)&gt;0,$G58),IF(AND(teacher_type="R",career_stage="HP"),AND(COUNTIFS(RHPS[Strand],$O58,RHPS[QET],K$21)&gt;0,$G58),IF(AND(teacher_type="TB",career_stage="P"),AND(COUNTIFS(TBPS[Strand],$O58,TBPS[QET],K$21)&gt;0,$G58),IF(AND(teacher_type="TB",career_stage="HP"),AND(COUNTIFS(TBHPS[Strand],$O58,TBHPS[QET],K$21)&gt;0,$G58),FALSE)))),FALSE)</f>
        <v>0</v>
      </c>
      <c r="L58" s="156" t="b">
        <f t="shared" si="12"/>
        <v>0</v>
      </c>
      <c r="M58" s="165" t="str">
        <f t="shared" si="13"/>
        <v/>
      </c>
      <c r="N58" s="48" t="str">
        <f>IF($G58,COUNTIF($G$22:$G58,TRUE),"")</f>
        <v/>
      </c>
      <c r="O58" s="48" t="str" cm="1">
        <f t="array" ref="O58">IFERROR(IF(AND(teacher_type="R",career_stage="P"),INDEX(RPI[Strand],$B58),IF(AND(teacher_type="R",career_stage="HP"),INDEX(RHPI[Strand],$B58),IF(AND(teacher_type="TB",career_stage="P"),INDEX(TBPI[Strand],$B58),IF(AND(teacher_type="TB",career_stage="HP"),INDEX(TBHPI[Strand],$B58),"")))),"")</f>
        <v>7.5.2</v>
      </c>
      <c r="P58" s="48" t="str">
        <f>$C$58</f>
        <v>NCOI</v>
      </c>
      <c r="Q58" s="173">
        <f>IFERROR(IF(AND(teacher_type="R",career_stage="P"),VLOOKUP(O58,RPI[],COLUMNS(RPI[[Strand]:[Weight]]),FALSE), IF(AND(teacher_type="R",career_stage="HP"),VLOOKUP(O58,RHPI[],COLUMNS(RHPI[[Strand]:[Weight]]),FALSE), IF(AND(teacher_type="TB",career_stage="P"),VLOOKUP(O58,TBPI[],COLUMNS(TBPI[[Strand]:[Weight]]),FALSE), IF(AND(teacher_type="TB",career_stage="HP"),VLOOKUP(O58,TBHPI[],COLUMNS(TBHPI[[Strand]:[Weight]]),FALSE),0)))),0)</f>
        <v>0</v>
      </c>
      <c r="R58" s="174">
        <f>COUNTIFS($D$22:D58,"COI",$G$22:G58,TRUE)</f>
        <v>9</v>
      </c>
      <c r="S58" s="484"/>
      <c r="T58" s="175" t="str">
        <f>IFERROR(IF(LOWER(TRIM(S$20))=LOWER(TRIM(data2!$U$35)),"",IF(AND($G58,$D58="COI",S$12,CZ58),IF(OR(LOWER(TRIM(S$20))=LOWER(TRIM(data2!$U$36)),ISBLANK(S58)),1,IF(career_stage="P",VLOOKUP(S58,P_COT_vlookup,2,FALSE),IF(career_stage="HP",VLOOKUP(S58,HP_COT_vlookup,2,FALSE),""))),"")),"")</f>
        <v/>
      </c>
      <c r="U58" s="471"/>
      <c r="V58" s="176" t="str">
        <f>IFERROR(IF(LOWER(TRIM(U$20))=LOWER(TRIM(data2!$U$35)),"",IF(AND($G58,$D58="COI",U$12,DB58),IF(OR(LOWER(TRIM(U$20))=LOWER(TRIM(data2!$U$36)),ISBLANK(U58)),1,IF(career_stage="P",VLOOKUP(U58,P_COT_vlookup,2,FALSE),IF(career_stage="HP",VLOOKUP(U58,HP_COT_vlookup,2,FALSE),""))),"")),"")</f>
        <v/>
      </c>
      <c r="W58" s="484"/>
      <c r="X58" s="175" t="str">
        <f>IFERROR(IF(LOWER(TRIM(W$20))=LOWER(TRIM(data2!$U$35)),"",IF(AND($G58,$D58="COI",W$12,DD58),IF(OR(LOWER(TRIM(W$20))=LOWER(TRIM(data2!$U$36)),ISBLANK(W58)),1,IF(career_stage="P",VLOOKUP(W58,P_COT_vlookup,2,FALSE),IF(career_stage="HP",VLOOKUP(W58,HP_COT_vlookup,2,FALSE),""))),"")),"")</f>
        <v/>
      </c>
      <c r="Y58" s="471"/>
      <c r="Z58" s="176" t="str">
        <f>IFERROR(IF(LOWER(TRIM(Y$20))=LOWER(TRIM(data2!$U$35)),"",IF(AND($G58,$D58="COI",Y$12,DF58),IF(OR(LOWER(TRIM(Y$20))=LOWER(TRIM(data2!$U$36)),ISBLANK(Y58)),1,IF(career_stage="P",VLOOKUP(Y58,P_COT_vlookup,2,FALSE),IF(career_stage="HP",VLOOKUP(Y58,HP_COT_vlookup,2,FALSE),""))),"")),"")</f>
        <v/>
      </c>
      <c r="AA58" s="171">
        <f t="shared" si="14"/>
        <v>0</v>
      </c>
      <c r="AB58" s="471"/>
      <c r="AC58" s="473"/>
      <c r="AD58" s="473"/>
      <c r="AE58" s="49">
        <f t="shared" si="2"/>
        <v>0</v>
      </c>
      <c r="AF58" s="49">
        <f t="shared" si="3"/>
        <v>0</v>
      </c>
      <c r="AG58" s="172" t="str">
        <f t="shared" si="4"/>
        <v>Poor</v>
      </c>
      <c r="AI58" s="196" t="b">
        <f t="shared" si="5"/>
        <v>1</v>
      </c>
      <c r="AJ58" s="154" t="b">
        <v>1</v>
      </c>
      <c r="AK58" s="154" t="b">
        <v>1</v>
      </c>
      <c r="AL58" s="196" t="b">
        <f t="shared" si="15"/>
        <v>1</v>
      </c>
      <c r="AM58" s="154" t="b">
        <v>1</v>
      </c>
      <c r="AN58" s="196" t="b">
        <f t="shared" si="15"/>
        <v>1</v>
      </c>
      <c r="AO58" s="154" t="b">
        <v>1</v>
      </c>
      <c r="AP58" s="196" t="b">
        <f t="shared" si="15"/>
        <v>1</v>
      </c>
      <c r="AQ58" s="154" t="b">
        <v>1</v>
      </c>
      <c r="AR58" s="196" t="b">
        <f t="shared" si="15"/>
        <v>1</v>
      </c>
      <c r="AS58" s="154" t="b">
        <v>1</v>
      </c>
      <c r="AT58" s="154" t="b">
        <v>1</v>
      </c>
      <c r="AU58" s="196" t="b">
        <f t="shared" si="6"/>
        <v>1</v>
      </c>
      <c r="AV58" s="196" t="b">
        <f t="shared" si="7"/>
        <v>1</v>
      </c>
      <c r="AW58" s="196" t="b">
        <f t="shared" si="8"/>
        <v>1</v>
      </c>
      <c r="AX58" s="47" t="b">
        <v>1</v>
      </c>
      <c r="AY58" s="47" t="b">
        <v>1</v>
      </c>
      <c r="AZ58" s="47" t="b">
        <v>1</v>
      </c>
      <c r="BF58" s="154" t="str">
        <f t="shared" si="9"/>
        <v>7.5.2</v>
      </c>
      <c r="BG58" s="196" t="b" cm="1">
        <f t="array" ref="BG58">IFERROR(IF(OR(LOWER(TRIM(S$20))=LOWER(TRIM(data2!$U$35)),LOWER(TRIM(S$20))=LOWER(TRIM(data2!$U$36))),FALSE,AND(S$12,IF(AND($G58,$D58="COI"),
IF(AND(teacher_type="R",career_stage="P"),VLOOKUP($BF58,RPI[],COLUMN(RPI[cot1]),FALSE),
IF(AND(teacher_type="R",career_stage="HP"),VLOOKUP($BF58,RHPI[],COLUMN(RHPI[cot1]),FALSE),
IF(AND(teacher_type="TB",career_stage="P"),VLOOKUP($BF58,TBPI[],COLUMN(TBPI[cot1]),FALSE),
IF(AND(teacher_type="TB",career_stage="HP"),VLOOKUP($BF58,TBHPI[],COLUMN(TBHPI[cot1]),FALSE),FALSE)))),
FALSE))),FALSE)</f>
        <v>0</v>
      </c>
      <c r="BH58" s="154" t="b">
        <v>0</v>
      </c>
      <c r="BI58" s="196" t="b" cm="1">
        <f t="array" ref="BI58">IFERROR(IF(OR(LOWER(TRIM(U$20))=LOWER(TRIM(data2!$U$35)),LOWER(TRIM(U$20))=LOWER(TRIM(data2!$U$36))),FALSE,AND(U$12,IF(AND($G58,$D58="COI"),
IF(AND(teacher_type="R",career_stage="P"),VLOOKUP($BF58,RPI[],COLUMN(RPI[cot2]),FALSE),
IF(AND(teacher_type="R",career_stage="HP"),VLOOKUP($BF58,RHPI[],COLUMN(RHPI[cot2]),FALSE),
IF(AND(teacher_type="TB",career_stage="P"),VLOOKUP($BF58,TBPI[],COLUMN(TBPI[cot2]),FALSE),
IF(AND(teacher_type="TB",career_stage="HP"),VLOOKUP($BF58,TBHPI[],COLUMN(TBHPI[cot2]),FALSE),FALSE)))),
FALSE))),FALSE)</f>
        <v>0</v>
      </c>
      <c r="BJ58" s="154" t="b">
        <v>0</v>
      </c>
      <c r="BK58" s="196" t="b" cm="1">
        <f t="array" ref="BK58">IFERROR(IF(OR(LOWER(TRIM(W$20))=LOWER(TRIM(data2!$U$35)),LOWER(TRIM(W$20))=LOWER(TRIM(data2!$U$36))),FALSE,AND(W$12,IF(AND($G58,$D58="COI"),
IF(AND(teacher_type="R",career_stage="P"),VLOOKUP($BF58,RPI[],COLUMN(RPI[cot3]),FALSE),
IF(AND(teacher_type="R",career_stage="HP"),VLOOKUP($BF58,RHPI[],COLUMN(RHPI[cot3]),FALSE),
IF(AND(teacher_type="TB",career_stage="P"),VLOOKUP($BF58,TBPI[],COLUMN(TBPI[cot3]),FALSE),
IF(AND(teacher_type="TB",career_stage="HP"),VLOOKUP($BF58,TBHPI[],COLUMN(TBHPI[cot3]),FALSE),FALSE)))),
FALSE))),FALSE)</f>
        <v>0</v>
      </c>
      <c r="BL58" s="154" t="b">
        <v>0</v>
      </c>
      <c r="BM58" s="196" t="b" cm="1">
        <f t="array" ref="BM58">IFERROR(IF(OR(LOWER(TRIM(Y$20))=LOWER(TRIM(data2!$U$35)),LOWER(TRIM(Y$20))=LOWER(TRIM(data2!$U$36))),FALSE,AND(Y$12,IF(AND($G58,$D58="COI"),
IF(AND(teacher_type="R",career_stage="P"),VLOOKUP($BF58,RPI[],COLUMN(RPI[cot4]),FALSE),
IF(AND(teacher_type="R",career_stage="HP"),VLOOKUP($BF58,RHPI[],COLUMN(RHPI[cot4]),FALSE),
IF(AND(teacher_type="TB",career_stage="P"),VLOOKUP($BF58,TBPI[],COLUMN(TBPI[cot4]),FALSE),
IF(AND(teacher_type="TB",career_stage="HP"),VLOOKUP($BF58,TBHPI[],COLUMN(TBHPI[cot4]),FALSE),FALSE)))),
FALSE))),FALSE)</f>
        <v>0</v>
      </c>
      <c r="BN58" s="154" t="b">
        <v>0</v>
      </c>
      <c r="BO58" s="150">
        <f t="shared" si="16"/>
        <v>0</v>
      </c>
      <c r="BP58" s="196" t="b">
        <f t="shared" si="17"/>
        <v>0</v>
      </c>
      <c r="BQ58" s="196" t="b">
        <f>IFERROR(IF(OR(NOT(CZ58),LOWER(TRIM(S$20))=LOWER(TRIM(data2!$U$35))),TRUE,IF(AND(CZ58,LOWER(TRIM(S$20))=LOWER(TRIM(data2!$U$36))),FALSE)),FALSE)</f>
        <v>1</v>
      </c>
      <c r="BR58" s="196" t="b">
        <f t="shared" si="18"/>
        <v>0</v>
      </c>
      <c r="BS58" s="196" t="b">
        <f>IFERROR(IF(OR(NOT(DB58),LOWER(TRIM(U$20))=LOWER(TRIM(data2!$U$35))),TRUE,IF(AND(DB58,LOWER(TRIM(U$20))=LOWER(TRIM(data2!$U$36))),FALSE)),FALSE)</f>
        <v>1</v>
      </c>
      <c r="BT58" s="196" t="b">
        <f t="shared" si="19"/>
        <v>0</v>
      </c>
      <c r="BU58" s="196" t="b">
        <f>IFERROR(IF(OR(NOT(DD58),LOWER(TRIM(W$20))=LOWER(TRIM(data2!$U$35))),TRUE,IF(AND(DD58,LOWER(TRIM(W$20))=LOWER(TRIM(data2!$U$36))),FALSE)),FALSE)</f>
        <v>1</v>
      </c>
      <c r="BV58" s="196" t="b">
        <f t="shared" si="20"/>
        <v>0</v>
      </c>
      <c r="BW58" s="196" t="b">
        <f>IFERROR(IF(OR(NOT(DF58),LOWER(TRIM(Y$20))=LOWER(TRIM(data2!$U$35))),TRUE,IF(AND(DF58,LOWER(TRIM(Y$20))=LOWER(TRIM(data2!$U$36))),FALSE)),FALSE)</f>
        <v>1</v>
      </c>
      <c r="BY58" s="154" t="str">
        <f t="shared" si="21"/>
        <v/>
      </c>
      <c r="BZ58" s="154" t="str">
        <f t="shared" si="22"/>
        <v/>
      </c>
      <c r="CA58" s="154" t="str">
        <f t="shared" si="23"/>
        <v/>
      </c>
      <c r="CB58" s="154" t="str">
        <f t="shared" si="24"/>
        <v>CE58:CI58</v>
      </c>
      <c r="CC58" s="154" t="str">
        <f t="shared" si="25"/>
        <v>CK58:CO58</v>
      </c>
      <c r="CD58" s="154" t="str">
        <f t="shared" si="26"/>
        <v>CQ58:CU58</v>
      </c>
      <c r="CE58" s="359" cm="1">
        <f t="array" ref="CE58">IFERROR(IF($BY58&lt;&gt;"",
IF(AND(teacher_type="R",career_stage="P"),
    IF(INDEX(RPS[[Outstanding]:[Poor]],MATCH($BY58,RPS[[helper]:[helper]],0),CE$19)&lt;&gt;"",CE$20,""),
IF(AND(teacher_type="R",career_stage="HP"),
    IF(INDEX(RHPS[[Outstanding]:[Poor]],MATCH($BY58,RHPS[[helper]:[helper]],0),CE$19)&lt;&gt;"",CE$20,""),
IF(AND(teacher_type="TB",career_stage="P"),
    IF(INDEX(TBPS[[Outstanding]:[Poor]],MATCH($BY58,TBPS[[helper]:[helper]],0),CE$19)&lt;&gt;"",CE$20,""),
IF(AND(teacher_type="TB",career_stage="HP"),
    IF(INDEX(TBHPS[[Outstanding]:[Poor]],MATCH($BY58,TBHPS[[helper]:[helper]],0),CE$19)&lt;&gt;"",CE$20,""),
CE$20)))),
CE$20),CE$20)</f>
        <v>5</v>
      </c>
      <c r="CF58" s="359" cm="1">
        <f t="array" ref="CF58">IFERROR(IF($BY58&lt;&gt;"",
IF(AND(teacher_type="R",career_stage="P"),
    IF(INDEX(RPS[[Outstanding]:[Poor]],MATCH($BY58,RPS[[helper]:[helper]],0),CF$19)&lt;&gt;"",CF$20,""),
IF(AND(teacher_type="R",career_stage="HP"),
    IF(INDEX(RHPS[[Outstanding]:[Poor]],MATCH($BY58,RHPS[[helper]:[helper]],0),CF$19)&lt;&gt;"",CF$20,""),
IF(AND(teacher_type="TB",career_stage="P"),
    IF(INDEX(TBPS[[Outstanding]:[Poor]],MATCH($BY58,TBPS[[helper]:[helper]],0),CF$19)&lt;&gt;"",CF$20,""),
IF(AND(teacher_type="TB",career_stage="HP"),
    IF(INDEX(TBHPS[[Outstanding]:[Poor]],MATCH($BY58,TBHPS[[helper]:[helper]],0),CF$19)&lt;&gt;"",CF$20,""),
CF$20)))),
CF$20),CF$20)</f>
        <v>4</v>
      </c>
      <c r="CG58" s="359" cm="1">
        <f t="array" ref="CG58">IFERROR(IF($BY58&lt;&gt;"",
IF(AND(teacher_type="R",career_stage="P"),
    IF(INDEX(RPS[[Outstanding]:[Poor]],MATCH($BY58,RPS[[helper]:[helper]],0),CG$19)&lt;&gt;"",CG$20,""),
IF(AND(teacher_type="R",career_stage="HP"),
    IF(INDEX(RHPS[[Outstanding]:[Poor]],MATCH($BY58,RHPS[[helper]:[helper]],0),CG$19)&lt;&gt;"",CG$20,""),
IF(AND(teacher_type="TB",career_stage="P"),
    IF(INDEX(TBPS[[Outstanding]:[Poor]],MATCH($BY58,TBPS[[helper]:[helper]],0),CG$19)&lt;&gt;"",CG$20,""),
IF(AND(teacher_type="TB",career_stage="HP"),
    IF(INDEX(TBHPS[[Outstanding]:[Poor]],MATCH($BY58,TBHPS[[helper]:[helper]],0),CG$19)&lt;&gt;"",CG$20,""),
CG$20)))),
CG$20),CG$20)</f>
        <v>3</v>
      </c>
      <c r="CH58" s="359" cm="1">
        <f t="array" ref="CH58">IFERROR(IF($BY58&lt;&gt;"",
IF(AND(teacher_type="R",career_stage="P"),
    IF(INDEX(RPS[[Outstanding]:[Poor]],MATCH($BY58,RPS[[helper]:[helper]],0),CH$19)&lt;&gt;"",CH$20,""),
IF(AND(teacher_type="R",career_stage="HP"),
    IF(INDEX(RHPS[[Outstanding]:[Poor]],MATCH($BY58,RHPS[[helper]:[helper]],0),CH$19)&lt;&gt;"",CH$20,""),
IF(AND(teacher_type="TB",career_stage="P"),
    IF(INDEX(TBPS[[Outstanding]:[Poor]],MATCH($BY58,TBPS[[helper]:[helper]],0),CH$19)&lt;&gt;"",CH$20,""),
IF(AND(teacher_type="TB",career_stage="HP"),
    IF(INDEX(TBHPS[[Outstanding]:[Poor]],MATCH($BY58,TBHPS[[helper]:[helper]],0),CH$19)&lt;&gt;"",CH$20,""),
CH$20)))),
CH$20),CH$20)</f>
        <v>2</v>
      </c>
      <c r="CI58" s="359" cm="1">
        <f t="array" ref="CI58">IFERROR(IF($BY58&lt;&gt;"",
IF(AND(teacher_type="R",career_stage="P"),
    IF(INDEX(RPS[[Outstanding]:[Poor]],MATCH($BY58,RPS[[helper]:[helper]],0),CI$19)&lt;&gt;"",CI$20,""),
IF(AND(teacher_type="R",career_stage="HP"),
    IF(INDEX(RHPS[[Outstanding]:[Poor]],MATCH($BY58,RHPS[[helper]:[helper]],0),CI$19)&lt;&gt;"",CI$20,""),
IF(AND(teacher_type="TB",career_stage="P"),
    IF(INDEX(TBPS[[Outstanding]:[Poor]],MATCH($BY58,TBPS[[helper]:[helper]],0),CI$19)&lt;&gt;"",CI$20,""),
IF(AND(teacher_type="TB",career_stage="HP"),
    IF(INDEX(TBHPS[[Outstanding]:[Poor]],MATCH($BY58,TBHPS[[helper]:[helper]],0),CI$19)&lt;&gt;"",CI$20,""),
CI$20)))),
CI$20),CI$20)</f>
        <v>1</v>
      </c>
      <c r="CJ58" s="360">
        <f t="shared" si="27"/>
        <v>5</v>
      </c>
      <c r="CK58" s="359" cm="1">
        <f t="array" ref="CK58">IFERROR(IF($BZ58&lt;&gt;"",
IF(AND(teacher_type="R",career_stage="P"),
    IF(INDEX(RPS[[Outstanding]:[Poor]],MATCH($BZ58,RPS[[helper]:[helper]],0),CK$19)&lt;&gt;"",CK$20,""),
IF(AND(teacher_type="R",career_stage="HP"),
    IF(INDEX(RHPS[[Outstanding]:[Poor]],MATCH($BZ58,RHPS[[helper]:[helper]],0),CK$19)&lt;&gt;"",CK$20,""),
IF(AND(teacher_type="TB",career_stage="P"),
    IF(INDEX(TBPS[[Outstanding]:[Poor]],MATCH($BZ58,TBPS[[helper]:[helper]],0),CK$19)&lt;&gt;"",CK$20,""),
IF(AND(teacher_type="TB",career_stage="HP"),
    IF(INDEX(TBHPS[[Outstanding]:[Poor]],MATCH($BZ58,TBHPS[[helper]:[helper]],0),CK$19)&lt;&gt;"",CK$20,""),
CK$20)))),
CK$20),CK$20)</f>
        <v>5</v>
      </c>
      <c r="CL58" s="359" cm="1">
        <f t="array" ref="CL58">IFERROR(IF($BZ58&lt;&gt;"",
IF(AND(teacher_type="R",career_stage="P"),
    IF(INDEX(RPS[[Outstanding]:[Poor]],MATCH($BZ58,RPS[[helper]:[helper]],0),CL$19)&lt;&gt;"",CL$20,""),
IF(AND(teacher_type="R",career_stage="HP"),
    IF(INDEX(RHPS[[Outstanding]:[Poor]],MATCH($BZ58,RHPS[[helper]:[helper]],0),CL$19)&lt;&gt;"",CL$20,""),
IF(AND(teacher_type="TB",career_stage="P"),
    IF(INDEX(TBPS[[Outstanding]:[Poor]],MATCH($BZ58,TBPS[[helper]:[helper]],0),CL$19)&lt;&gt;"",CL$20,""),
IF(AND(teacher_type="TB",career_stage="HP"),
    IF(INDEX(TBHPS[[Outstanding]:[Poor]],MATCH($BZ58,TBHPS[[helper]:[helper]],0),CL$19)&lt;&gt;"",CL$20,""),
CL$20)))),
CL$20),CL$20)</f>
        <v>4</v>
      </c>
      <c r="CM58" s="359" cm="1">
        <f t="array" ref="CM58">IFERROR(IF($BZ58&lt;&gt;"",
IF(AND(teacher_type="R",career_stage="P"),
    IF(INDEX(RPS[[Outstanding]:[Poor]],MATCH($BZ58,RPS[[helper]:[helper]],0),CM$19)&lt;&gt;"",CM$20,""),
IF(AND(teacher_type="R",career_stage="HP"),
    IF(INDEX(RHPS[[Outstanding]:[Poor]],MATCH($BZ58,RHPS[[helper]:[helper]],0),CM$19)&lt;&gt;"",CM$20,""),
IF(AND(teacher_type="TB",career_stage="P"),
    IF(INDEX(TBPS[[Outstanding]:[Poor]],MATCH($BZ58,TBPS[[helper]:[helper]],0),CM$19)&lt;&gt;"",CM$20,""),
IF(AND(teacher_type="TB",career_stage="HP"),
    IF(INDEX(TBHPS[[Outstanding]:[Poor]],MATCH($BZ58,TBHPS[[helper]:[helper]],0),CM$19)&lt;&gt;"",CM$20,""),
CM$20)))),
CM$20),CM$20)</f>
        <v>3</v>
      </c>
      <c r="CN58" s="359" cm="1">
        <f t="array" ref="CN58">IFERROR(IF($BZ58&lt;&gt;"",
IF(AND(teacher_type="R",career_stage="P"),
    IF(INDEX(RPS[[Outstanding]:[Poor]],MATCH($BZ58,RPS[[helper]:[helper]],0),CN$19)&lt;&gt;"",CN$20,""),
IF(AND(teacher_type="R",career_stage="HP"),
    IF(INDEX(RHPS[[Outstanding]:[Poor]],MATCH($BZ58,RHPS[[helper]:[helper]],0),CN$19)&lt;&gt;"",CN$20,""),
IF(AND(teacher_type="TB",career_stage="P"),
    IF(INDEX(TBPS[[Outstanding]:[Poor]],MATCH($BZ58,TBPS[[helper]:[helper]],0),CN$19)&lt;&gt;"",CN$20,""),
IF(AND(teacher_type="TB",career_stage="HP"),
    IF(INDEX(TBHPS[[Outstanding]:[Poor]],MATCH($BZ58,TBHPS[[helper]:[helper]],0),CN$19)&lt;&gt;"",CN$20,""),
CN$20)))),
CN$20),CN$20)</f>
        <v>2</v>
      </c>
      <c r="CO58" s="359" cm="1">
        <f t="array" ref="CO58">IFERROR(IF($BZ58&lt;&gt;"",
IF(AND(teacher_type="R",career_stage="P"),
    IF(INDEX(RPS[[Outstanding]:[Poor]],MATCH($BZ58,RPS[[helper]:[helper]],0),CO$19)&lt;&gt;"",CO$20,""),
IF(AND(teacher_type="R",career_stage="HP"),
    IF(INDEX(RHPS[[Outstanding]:[Poor]],MATCH($BZ58,RHPS[[helper]:[helper]],0),CO$19)&lt;&gt;"",CO$20,""),
IF(AND(teacher_type="TB",career_stage="P"),
    IF(INDEX(TBPS[[Outstanding]:[Poor]],MATCH($BZ58,TBPS[[helper]:[helper]],0),CO$19)&lt;&gt;"",CO$20,""),
IF(AND(teacher_type="TB",career_stage="HP"),
    IF(INDEX(TBHPS[[Outstanding]:[Poor]],MATCH($BZ58,TBHPS[[helper]:[helper]],0),CO$19)&lt;&gt;"",CO$20,""),
CO$20)))),
CO$20),CO$20)</f>
        <v>1</v>
      </c>
      <c r="CP58" s="360">
        <f t="shared" si="28"/>
        <v>5</v>
      </c>
      <c r="CQ58" s="359" cm="1">
        <f t="array" ref="CQ58">IFERROR(IF($CA58&lt;&gt;"",
IF(AND(teacher_type="R",career_stage="P"),
    IF(INDEX(RPS[[Outstanding]:[Poor]],MATCH($CA58,RPS[[helper]:[helper]],0),CQ$19)&lt;&gt;"",CQ$20,""),
IF(AND(teacher_type="R",career_stage="HP"),
    IF(INDEX(RHPS[[Outstanding]:[Poor]],MATCH($CA58,RHPS[[helper]:[helper]],0),CQ$19)&lt;&gt;"",CQ$20,""),
IF(AND(teacher_type="TB",career_stage="P"),
    IF(INDEX(TBPS[[Outstanding]:[Poor]],MATCH($CA58,TBPS[[helper]:[helper]],0),CQ$19)&lt;&gt;"",CQ$20,""),
IF(AND(teacher_type="TB",career_stage="HP"),
    IF(INDEX(TBHPS[[Outstanding]:[Poor]],MATCH($CA58,TBHPS[[helper]:[helper]],0),CQ$19)&lt;&gt;"",CQ$20,""),
CQ$20)))),
CQ$20),CQ$20)</f>
        <v>5</v>
      </c>
      <c r="CR58" s="359" cm="1">
        <f t="array" ref="CR58">IFERROR(IF($CA58&lt;&gt;"",
IF(AND(teacher_type="R",career_stage="P"),
    IF(INDEX(RPS[[Outstanding]:[Poor]],MATCH($CA58,RPS[[helper]:[helper]],0),CR$19)&lt;&gt;"",CR$20,""),
IF(AND(teacher_type="R",career_stage="HP"),
    IF(INDEX(RHPS[[Outstanding]:[Poor]],MATCH($CA58,RHPS[[helper]:[helper]],0),CR$19)&lt;&gt;"",CR$20,""),
IF(AND(teacher_type="TB",career_stage="P"),
    IF(INDEX(TBPS[[Outstanding]:[Poor]],MATCH($CA58,TBPS[[helper]:[helper]],0),CR$19)&lt;&gt;"",CR$20,""),
IF(AND(teacher_type="TB",career_stage="HP"),
    IF(INDEX(TBHPS[[Outstanding]:[Poor]],MATCH($CA58,TBHPS[[helper]:[helper]],0),CR$19)&lt;&gt;"",CR$20,""),
CR$20)))),
CR$20),CR$20)</f>
        <v>4</v>
      </c>
      <c r="CS58" s="359" cm="1">
        <f t="array" ref="CS58">IFERROR(IF($CA58&lt;&gt;"",
IF(AND(teacher_type="R",career_stage="P"),
    IF(INDEX(RPS[[Outstanding]:[Poor]],MATCH($CA58,RPS[[helper]:[helper]],0),CS$19)&lt;&gt;"",CS$20,""),
IF(AND(teacher_type="R",career_stage="HP"),
    IF(INDEX(RHPS[[Outstanding]:[Poor]],MATCH($CA58,RHPS[[helper]:[helper]],0),CS$19)&lt;&gt;"",CS$20,""),
IF(AND(teacher_type="TB",career_stage="P"),
    IF(INDEX(TBPS[[Outstanding]:[Poor]],MATCH($CA58,TBPS[[helper]:[helper]],0),CS$19)&lt;&gt;"",CS$20,""),
IF(AND(teacher_type="TB",career_stage="HP"),
    IF(INDEX(TBHPS[[Outstanding]:[Poor]],MATCH($CA58,TBHPS[[helper]:[helper]],0),CS$19)&lt;&gt;"",CS$20,""),
CS$20)))),
CS$20),CS$20)</f>
        <v>3</v>
      </c>
      <c r="CT58" s="359" cm="1">
        <f t="array" ref="CT58">IFERROR(IF($CA58&lt;&gt;"",
IF(AND(teacher_type="R",career_stage="P"),
    IF(INDEX(RPS[[Outstanding]:[Poor]],MATCH($CA58,RPS[[helper]:[helper]],0),CT$19)&lt;&gt;"",CT$20,""),
IF(AND(teacher_type="R",career_stage="HP"),
    IF(INDEX(RHPS[[Outstanding]:[Poor]],MATCH($CA58,RHPS[[helper]:[helper]],0),CT$19)&lt;&gt;"",CT$20,""),
IF(AND(teacher_type="TB",career_stage="P"),
    IF(INDEX(TBPS[[Outstanding]:[Poor]],MATCH($CA58,TBPS[[helper]:[helper]],0),CT$19)&lt;&gt;"",CT$20,""),
IF(AND(teacher_type="TB",career_stage="HP"),
    IF(INDEX(TBHPS[[Outstanding]:[Poor]],MATCH($CA58,TBHPS[[helper]:[helper]],0),CT$19)&lt;&gt;"",CT$20,""),
CT$20)))),
CT$20),CT$20)</f>
        <v>2</v>
      </c>
      <c r="CU58" s="359" cm="1">
        <f t="array" ref="CU58">IFERROR(IF($CA58&lt;&gt;"",
IF(AND(teacher_type="R",career_stage="P"),
    IF(INDEX(RPS[[Outstanding]:[Poor]],MATCH($CA58,RPS[[helper]:[helper]],0),CU$19)&lt;&gt;"",CU$20,""),
IF(AND(teacher_type="R",career_stage="HP"),
    IF(INDEX(RHPS[[Outstanding]:[Poor]],MATCH($CA58,RHPS[[helper]:[helper]],0),CU$19)&lt;&gt;"",CU$20,""),
IF(AND(teacher_type="TB",career_stage="P"),
    IF(INDEX(TBPS[[Outstanding]:[Poor]],MATCH($CA58,TBPS[[helper]:[helper]],0),CU$19)&lt;&gt;"",CU$20,""),
IF(AND(teacher_type="TB",career_stage="HP"),
    IF(INDEX(TBHPS[[Outstanding]:[Poor]],MATCH($CA58,TBHPS[[helper]:[helper]],0),CU$19)&lt;&gt;"",CU$20,""),
CU$20)))),
CU$20),CU$20)</f>
        <v>1</v>
      </c>
      <c r="CV58" s="360">
        <f t="shared" si="29"/>
        <v>5</v>
      </c>
      <c r="CY58" s="443" t="b" cm="1">
        <f t="array" ref="CY58">IFERROR(AND(S$12,IF(AND($G58,$D58="COI"),
IF(AND(teacher_type="R",career_stage="P"),VLOOKUP($BF58,RPI[],COLUMN(RPI[cot1]),FALSE),
IF(AND(teacher_type="R",career_stage="HP"),VLOOKUP($BF58,RHPI[],COLUMN(RHPI[cot1]),FALSE),
IF(AND(teacher_type="TB",career_stage="P"),VLOOKUP($BF58,TBPI[],COLUMN(TBPI[cot1]),FALSE),
IF(AND(teacher_type="TB",career_stage="HP"),VLOOKUP($BF58,TBHPI[],COLUMN(TBHPI[cot1]),FALSE),FALSE)))),
FALSE)),FALSE)</f>
        <v>0</v>
      </c>
      <c r="CZ58" s="443" t="b">
        <f t="shared" si="30"/>
        <v>0</v>
      </c>
      <c r="DA58" s="443" t="b" cm="1">
        <f t="array" ref="DA58">IFERROR(AND(U$12,IF(AND($G58,$D58="COI"),
IF(AND(teacher_type="R",career_stage="P"),VLOOKUP($BF58,RPI[],COLUMN(RPI[cot2]),FALSE),
IF(AND(teacher_type="R",career_stage="HP"),VLOOKUP($BF58,RHPI[],COLUMN(RHPI[cot2]),FALSE),
IF(AND(teacher_type="TB",career_stage="P"),VLOOKUP($BF58,TBPI[],COLUMN(TBPI[cot2]),FALSE),
IF(AND(teacher_type="TB",career_stage="HP"),VLOOKUP($BF58,TBHPI[],COLUMN(TBHPI[cot2]),FALSE),FALSE)))),
FALSE)),FALSE)</f>
        <v>0</v>
      </c>
      <c r="DB58" s="443" t="b">
        <f t="shared" si="31"/>
        <v>0</v>
      </c>
      <c r="DC58" s="443" t="b" cm="1">
        <f t="array" ref="DC58">IFERROR(AND(W$12,IF(AND($G58,$D58="COI"),
IF(AND(teacher_type="R",career_stage="P"),VLOOKUP($BF58,RPI[],COLUMN(RPI[cot3]),FALSE),
IF(AND(teacher_type="R",career_stage="HP"),VLOOKUP($BF58,RHPI[],COLUMN(RHPI[cot3]),FALSE),
IF(AND(teacher_type="TB",career_stage="P"),VLOOKUP($BF58,TBPI[],COLUMN(TBPI[cot3]),FALSE),
IF(AND(teacher_type="TB",career_stage="HP"),VLOOKUP($BF58,TBHPI[],COLUMN(TBHPI[cot3]),FALSE),FALSE)))),
FALSE)),FALSE)</f>
        <v>0</v>
      </c>
      <c r="DD58" s="443" t="b">
        <f t="shared" si="32"/>
        <v>0</v>
      </c>
      <c r="DE58" s="443" t="b" cm="1">
        <f t="array" ref="DE58">IFERROR(AND(Y$12,IF(AND($G58,$D58="COI"),
IF(AND(teacher_type="R",career_stage="P"),VLOOKUP($BF58,RPI[],COLUMN(RPI[cot4]),FALSE),
IF(AND(teacher_type="R",career_stage="HP"),VLOOKUP($BF58,RHPI[],COLUMN(RHPI[cot4]),FALSE),
IF(AND(teacher_type="TB",career_stage="P"),VLOOKUP($BF58,TBPI[],COLUMN(TBPI[cot4]),FALSE),
IF(AND(teacher_type="TB",career_stage="HP"),VLOOKUP($BF58,TBHPI[],COLUMN(TBHPI[cot4]),FALSE),FALSE)))),
FALSE)),FALSE)</f>
        <v>0</v>
      </c>
      <c r="DF58" s="443" t="b">
        <f t="shared" si="33"/>
        <v>0</v>
      </c>
      <c r="DG58" s="150">
        <f t="shared" si="34"/>
        <v>0</v>
      </c>
      <c r="DH58" s="154">
        <f>IF(AND(CY58,LOWER(TRIM(S$20))=LOWER(TRIM(data2!$U$35))),1,0) +
IF(AND(DA58,LOWER(TRIM(U$20))=LOWER(TRIM(data2!$U$35))),1,0) +
IF(AND(DC58,LOWER(TRIM(W$20))=LOWER(TRIM(data2!$U$35))),1,0) +
IF(AND(DE58,LOWER(TRIM(Y$20))=LOWER(TRIM(data2!$U$35))),1,0)</f>
        <v>0</v>
      </c>
      <c r="DJ58" s="154">
        <f t="shared" si="35"/>
        <v>0</v>
      </c>
    </row>
    <row r="59" spans="1:114" s="154" customFormat="1" ht="24.95" customHeight="1" thickBot="1" x14ac:dyDescent="0.3">
      <c r="A59" s="156"/>
      <c r="B59" s="154">
        <v>38</v>
      </c>
      <c r="C59" s="150" t="str">
        <f>IFERROR(IF(AND(teacher_type="R",career_stage="P"),VLOOKUP(O59,RPI[],COLUMNS(RPI[[Strand]:[admin_selected_coi_ncoi]]),FALSE),IF(AND(teacher_type="R",career_stage="HP"),VLOOKUP(O59,RHPI[],COLUMNS(RHPI[[Strand]:[admin_selected_coi_ncoi]]),FALSE),IF(AND(teacher_type="TB",career_stage="P"),VLOOKUP(O59,TBPI[],COLUMNS(TBPI[[Strand]:[admin_selected_coi_ncoi]]),FALSE),IF(AND(teacher_type="TB",career_stage="HP"),VLOOKUP(O59,TBHPI[],COLUMNS(TBHPI[[Strand]:[admin_selected_coi_ncoi]]),FALSE),"NCOI")))),"NCOI")</f>
        <v>NCOI</v>
      </c>
      <c r="D59" s="150" t="str">
        <f t="shared" si="10"/>
        <v>NCOI</v>
      </c>
      <c r="E59" s="150" t="str">
        <f>IFERROR(IF(AND(teacher_type="R",career_stage="P"),VLOOKUP($O59,RPI[[Strand]:[Domain]],COLUMNS(RPI[[Strand]:[Domain]]),FALSE),IF(AND(teacher_type="R",career_stage="HP"),VLOOKUP($O59,RHPI[[Strand]:[Domain]],COLUMNS(RHPI[[Strand]:[Domain]]),FALSE),IF(AND(teacher_type="TB",career_stage="P"),VLOOKUP($O59,TBPI[[Strand]:[Domain]],COLUMNS(TBPI[[Strand]:[Domain]]),FALSE),IF(AND(teacher_type="TB",career_stage="HP"),VLOOKUP($O59,TBHPI[[Strand]:[Domain]],COLUMNS(TBHPI[[Strand]:[Domain]]),FALSE),"")))),"")</f>
        <v>Plus Factor</v>
      </c>
      <c r="F59" s="155" t="b">
        <f>AND(COUNTIFS($E$22:$E59,E59,$G$22:$G59,TRUE)=1,$G59)</f>
        <v>1</v>
      </c>
      <c r="G59" s="212" t="b">
        <f>IFERROR(IF(AND(teacher_type="R",career_stage="P"),VLOOKUP($O59,RPI[],COLUMNS(RPI[[Strand]:[Selected]]),FALSE),IF(AND(teacher_type="R",career_stage="HP"),VLOOKUP($O59,RHPI[],COLUMNS(RHPI[[Strand]:[Selected]]),FALSE),IF(AND(teacher_type="TB",career_stage="P"),VLOOKUP($O59,TBPI[],COLUMNS(TBPI[[Strand]:[Selected]]),FALSE),IF(AND(teacher_type="TB",career_stage="HP"),VLOOKUP($O59,TBHPI[],COLUMNS(TBHPI[[Strand]:[Selected]]),FALSE),FALSE)))),FALSE)</f>
        <v>1</v>
      </c>
      <c r="H59" s="156" t="b">
        <f>IFERROR(IF(AND(teacher_type="R",career_stage="P"),AND(COUNTIFS(RPS[Strand],$O59,RPS[QET],H$21)&gt;0,$G59),IF(AND(teacher_type="R",career_stage="HP"),AND(COUNTIFS(RHPS[Strand],$O59,RHPS[QET],H$21)&gt;0,$G59),IF(AND(teacher_type="TB",career_stage="P"),AND(COUNTIFS(TBPS[Strand],$O59,TBPS[QET],H$21)&gt;0,$G59),IF(AND(teacher_type="TB",career_stage="HP"),AND(COUNTIFS(TBHPS[Strand],$O59,TBHPS[QET],H$21)&gt;0,$G59),FALSE)))),FALSE)</f>
        <v>1</v>
      </c>
      <c r="I59" s="156" t="b">
        <f t="shared" si="11"/>
        <v>1</v>
      </c>
      <c r="J59" s="156" t="b">
        <f>IFERROR(IF(AND(teacher_type="R",career_stage="P"),AND(COUNTIFS(RPS[Strand],$O59,RPS[QET],J$21)&gt;0,$G59),IF(AND(teacher_type="R",career_stage="HP"),AND(COUNTIFS(RHPS[Strand],$O59,RHPS[QET],J$21)&gt;0,$G59),IF(AND(teacher_type="TB",career_stage="P"),AND(COUNTIFS(TBPS[Strand],$O59,TBPS[QET],J$21)&gt;0,$G59),IF(AND(teacher_type="TB",career_stage="HP"),AND(COUNTIFS(TBHPS[Strand],$O59,TBHPS[QET],J$21)&gt;0,$G59),FALSE)))),FALSE)</f>
        <v>1</v>
      </c>
      <c r="K59" s="156" t="b">
        <f>IFERROR(IF(AND(teacher_type="R",career_stage="P"),AND(COUNTIFS(RPS[Strand],$O59,RPS[QET],K$21)&gt;0,$G59),IF(AND(teacher_type="R",career_stage="HP"),AND(COUNTIFS(RHPS[Strand],$O59,RHPS[QET],K$21)&gt;0,$G59),IF(AND(teacher_type="TB",career_stage="P"),AND(COUNTIFS(TBPS[Strand],$O59,TBPS[QET],K$21)&gt;0,$G59),IF(AND(teacher_type="TB",career_stage="HP"),AND(COUNTIFS(TBHPS[Strand],$O59,TBHPS[QET],K$21)&gt;0,$G59),FALSE)))),FALSE)</f>
        <v>1</v>
      </c>
      <c r="L59" s="156" t="b">
        <f t="shared" si="12"/>
        <v>0</v>
      </c>
      <c r="M59" s="177" t="str">
        <f t="shared" si="13"/>
        <v>Plus Factor</v>
      </c>
      <c r="N59" s="48">
        <f>IF($G59,COUNTIF($G$22:$G59,TRUE),"")</f>
        <v>15</v>
      </c>
      <c r="O59" s="166" cm="1">
        <f t="array" ref="O59">IFERROR(IF(AND(teacher_type="R",career_stage="P"),INDEX(RPI[Strand],$B59),IF(AND(teacher_type="R",career_stage="HP"),INDEX(RHPI[Strand],$B59),IF(AND(teacher_type="TB",career_stage="P"),INDEX(TBPI[Strand],$B59),IF(AND(teacher_type="TB",career_stage="HP"),INDEX(TBHPI[Strand],$B59),"")))),"")</f>
        <v>15</v>
      </c>
      <c r="P59" s="166" t="str">
        <f>$C$59</f>
        <v>NCOI</v>
      </c>
      <c r="Q59" s="178">
        <f>IFERROR(IF(AND(teacher_type="R",career_stage="P"),VLOOKUP(O59,RPI[],COLUMNS(RPI[[Strand]:[Weight]]),FALSE), IF(AND(teacher_type="R",career_stage="HP"),VLOOKUP(O59,RHPI[],COLUMNS(RHPI[[Strand]:[Weight]]),FALSE), IF(AND(teacher_type="TB",career_stage="P"),VLOOKUP(O59,TBPI[],COLUMNS(TBPI[[Strand]:[Weight]]),FALSE), IF(AND(teacher_type="TB",career_stage="HP"),VLOOKUP(O59,TBHPI[],COLUMNS(TBHPI[[Strand]:[Weight]]),FALSE),0)))),0)</f>
        <v>0.02</v>
      </c>
      <c r="R59" s="179">
        <f>COUNTIFS($D$22:D59,"COI",$G$22:G59,TRUE)</f>
        <v>9</v>
      </c>
      <c r="S59" s="483"/>
      <c r="T59" s="169" t="str">
        <f>IFERROR(IF(LOWER(TRIM(S$20))=LOWER(TRIM(data2!$U$35)),"",IF(AND($G59,$D59="COI",S$12,CZ59),IF(OR(LOWER(TRIM(S$20))=LOWER(TRIM(data2!$U$36)),ISBLANK(S59)),1,IF(career_stage="P",VLOOKUP(S59,P_COT_vlookup,2,FALSE),IF(career_stage="HP",VLOOKUP(S59,HP_COT_vlookup,2,FALSE),""))),"")),"")</f>
        <v/>
      </c>
      <c r="U59" s="483"/>
      <c r="V59" s="169" t="str">
        <f>IFERROR(IF(LOWER(TRIM(U$20))=LOWER(TRIM(data2!$U$35)),"",IF(AND($G59,$D59="COI",U$12,DB59),IF(OR(LOWER(TRIM(U$20))=LOWER(TRIM(data2!$U$36)),ISBLANK(U59)),1,IF(career_stage="P",VLOOKUP(U59,P_COT_vlookup,2,FALSE),IF(career_stage="HP",VLOOKUP(U59,HP_COT_vlookup,2,FALSE),""))),"")),"")</f>
        <v/>
      </c>
      <c r="W59" s="483"/>
      <c r="X59" s="169" t="str">
        <f>IFERROR(IF(LOWER(TRIM(W$20))=LOWER(TRIM(data2!$U$35)),"",IF(AND($G59,$D59="COI",W$12,DD59),IF(OR(LOWER(TRIM(W$20))=LOWER(TRIM(data2!$U$36)),ISBLANK(W59)),1,IF(career_stage="P",VLOOKUP(W59,P_COT_vlookup,2,FALSE),IF(career_stage="HP",VLOOKUP(W59,HP_COT_vlookup,2,FALSE),""))),"")),"")</f>
        <v/>
      </c>
      <c r="Y59" s="483"/>
      <c r="Z59" s="169" t="str">
        <f>IFERROR(IF(LOWER(TRIM(Y$20))=LOWER(TRIM(data2!$U$35)),"",IF(AND($G59,$D59="COI",Y$12,DF59),IF(OR(LOWER(TRIM(Y$20))=LOWER(TRIM(data2!$U$36)),ISBLANK(Y59)),1,IF(career_stage="P",VLOOKUP(Y59,P_COT_vlookup,2,FALSE),IF(career_stage="HP",VLOOKUP(Y59,HP_COT_vlookup,2,FALSE),""))),"")),"")</f>
        <v/>
      </c>
      <c r="AA59" s="311">
        <f t="shared" si="14"/>
        <v>0</v>
      </c>
      <c r="AB59" s="460">
        <v>4</v>
      </c>
      <c r="AC59" s="464">
        <v>3</v>
      </c>
      <c r="AD59" s="464">
        <v>4</v>
      </c>
      <c r="AE59" s="180">
        <f t="shared" si="2"/>
        <v>3.6659999999999999</v>
      </c>
      <c r="AF59" s="181">
        <f t="shared" si="3"/>
        <v>7.2999999999999995E-2</v>
      </c>
      <c r="AG59" s="182" t="str">
        <f t="shared" si="4"/>
        <v>Very Satisfactory</v>
      </c>
      <c r="AI59" s="196" t="b">
        <f t="shared" si="5"/>
        <v>1</v>
      </c>
      <c r="AJ59" s="154" t="b">
        <v>1</v>
      </c>
      <c r="AK59" s="154" t="b">
        <v>1</v>
      </c>
      <c r="AL59" s="196" t="b">
        <f t="shared" si="15"/>
        <v>1</v>
      </c>
      <c r="AM59" s="154" t="b">
        <v>1</v>
      </c>
      <c r="AN59" s="196" t="b">
        <f t="shared" si="15"/>
        <v>1</v>
      </c>
      <c r="AO59" s="154" t="b">
        <v>1</v>
      </c>
      <c r="AP59" s="196" t="b">
        <f t="shared" si="15"/>
        <v>1</v>
      </c>
      <c r="AQ59" s="154" t="b">
        <v>1</v>
      </c>
      <c r="AR59" s="196" t="b">
        <f t="shared" si="15"/>
        <v>1</v>
      </c>
      <c r="AS59" s="154" t="b">
        <v>1</v>
      </c>
      <c r="AT59" s="154" t="b">
        <v>1</v>
      </c>
      <c r="AU59" s="196" t="b">
        <f t="shared" si="6"/>
        <v>1</v>
      </c>
      <c r="AV59" s="196" t="b">
        <f t="shared" si="7"/>
        <v>1</v>
      </c>
      <c r="AW59" s="196" t="b">
        <f t="shared" si="8"/>
        <v>1</v>
      </c>
      <c r="AX59" s="47" t="b">
        <v>1</v>
      </c>
      <c r="AY59" s="47" t="b">
        <v>1</v>
      </c>
      <c r="AZ59" s="47" t="b">
        <v>1</v>
      </c>
      <c r="BF59" s="154">
        <f t="shared" si="9"/>
        <v>15</v>
      </c>
      <c r="BG59" s="196" t="b" cm="1">
        <f t="array" ref="BG59">IFERROR(IF(OR(LOWER(TRIM(S$20))=LOWER(TRIM(data2!$U$35)),LOWER(TRIM(S$20))=LOWER(TRIM(data2!$U$36))),FALSE,AND(S$12,IF(AND($G59,$D59="COI"),
IF(AND(teacher_type="R",career_stage="P"),VLOOKUP($BF59,RPI[],COLUMN(RPI[cot1]),FALSE),
IF(AND(teacher_type="R",career_stage="HP"),VLOOKUP($BF59,RHPI[],COLUMN(RHPI[cot1]),FALSE),
IF(AND(teacher_type="TB",career_stage="P"),VLOOKUP($BF59,TBPI[],COLUMN(TBPI[cot1]),FALSE),
IF(AND(teacher_type="TB",career_stage="HP"),VLOOKUP($BF59,TBHPI[],COLUMN(TBHPI[cot1]),FALSE),FALSE)))),
FALSE))),FALSE)</f>
        <v>0</v>
      </c>
      <c r="BH59" s="154" t="b">
        <v>0</v>
      </c>
      <c r="BI59" s="196" t="b" cm="1">
        <f t="array" ref="BI59">IFERROR(IF(OR(LOWER(TRIM(U$20))=LOWER(TRIM(data2!$U$35)),LOWER(TRIM(U$20))=LOWER(TRIM(data2!$U$36))),FALSE,AND(U$12,IF(AND($G59,$D59="COI"),
IF(AND(teacher_type="R",career_stage="P"),VLOOKUP($BF59,RPI[],COLUMN(RPI[cot2]),FALSE),
IF(AND(teacher_type="R",career_stage="HP"),VLOOKUP($BF59,RHPI[],COLUMN(RHPI[cot2]),FALSE),
IF(AND(teacher_type="TB",career_stage="P"),VLOOKUP($BF59,TBPI[],COLUMN(TBPI[cot2]),FALSE),
IF(AND(teacher_type="TB",career_stage="HP"),VLOOKUP($BF59,TBHPI[],COLUMN(TBHPI[cot2]),FALSE),FALSE)))),
FALSE))),FALSE)</f>
        <v>0</v>
      </c>
      <c r="BJ59" s="154" t="b">
        <v>0</v>
      </c>
      <c r="BK59" s="196" t="b" cm="1">
        <f t="array" ref="BK59">IFERROR(IF(OR(LOWER(TRIM(W$20))=LOWER(TRIM(data2!$U$35)),LOWER(TRIM(W$20))=LOWER(TRIM(data2!$U$36))),FALSE,AND(W$12,IF(AND($G59,$D59="COI"),
IF(AND(teacher_type="R",career_stage="P"),VLOOKUP($BF59,RPI[],COLUMN(RPI[cot3]),FALSE),
IF(AND(teacher_type="R",career_stage="HP"),VLOOKUP($BF59,RHPI[],COLUMN(RHPI[cot3]),FALSE),
IF(AND(teacher_type="TB",career_stage="P"),VLOOKUP($BF59,TBPI[],COLUMN(TBPI[cot3]),FALSE),
IF(AND(teacher_type="TB",career_stage="HP"),VLOOKUP($BF59,TBHPI[],COLUMN(TBHPI[cot3]),FALSE),FALSE)))),
FALSE))),FALSE)</f>
        <v>0</v>
      </c>
      <c r="BL59" s="154" t="b">
        <v>0</v>
      </c>
      <c r="BM59" s="196" t="b" cm="1">
        <f t="array" ref="BM59">IFERROR(IF(OR(LOWER(TRIM(Y$20))=LOWER(TRIM(data2!$U$35)),LOWER(TRIM(Y$20))=LOWER(TRIM(data2!$U$36))),FALSE,AND(Y$12,IF(AND($G59,$D59="COI"),
IF(AND(teacher_type="R",career_stage="P"),VLOOKUP($BF59,RPI[],COLUMN(RPI[cot4]),FALSE),
IF(AND(teacher_type="R",career_stage="HP"),VLOOKUP($BF59,RHPI[],COLUMN(RHPI[cot4]),FALSE),
IF(AND(teacher_type="TB",career_stage="P"),VLOOKUP($BF59,TBPI[],COLUMN(TBPI[cot4]),FALSE),
IF(AND(teacher_type="TB",career_stage="HP"),VLOOKUP($BF59,TBHPI[],COLUMN(TBHPI[cot4]),FALSE),FALSE)))),
FALSE))),FALSE)</f>
        <v>0</v>
      </c>
      <c r="BN59" s="154" t="b">
        <v>0</v>
      </c>
      <c r="BO59" s="150">
        <f t="shared" si="16"/>
        <v>0</v>
      </c>
      <c r="BP59" s="196" t="b">
        <f t="shared" si="17"/>
        <v>0</v>
      </c>
      <c r="BQ59" s="196" t="b">
        <f>IFERROR(IF(OR(NOT(CZ59),LOWER(TRIM(S$20))=LOWER(TRIM(data2!$U$35))),TRUE,IF(AND(CZ59,LOWER(TRIM(S$20))=LOWER(TRIM(data2!$U$36))),FALSE)),FALSE)</f>
        <v>1</v>
      </c>
      <c r="BR59" s="196" t="b">
        <f t="shared" si="18"/>
        <v>0</v>
      </c>
      <c r="BS59" s="196" t="b">
        <f>IFERROR(IF(OR(NOT(DB59),LOWER(TRIM(U$20))=LOWER(TRIM(data2!$U$35))),TRUE,IF(AND(DB59,LOWER(TRIM(U$20))=LOWER(TRIM(data2!$U$36))),FALSE)),FALSE)</f>
        <v>1</v>
      </c>
      <c r="BT59" s="196" t="b">
        <f t="shared" si="19"/>
        <v>0</v>
      </c>
      <c r="BU59" s="196" t="b">
        <f>IFERROR(IF(OR(NOT(DD59),LOWER(TRIM(W$20))=LOWER(TRIM(data2!$U$35))),TRUE,IF(AND(DD59,LOWER(TRIM(W$20))=LOWER(TRIM(data2!$U$36))),FALSE)),FALSE)</f>
        <v>1</v>
      </c>
      <c r="BV59" s="196" t="b">
        <f t="shared" si="20"/>
        <v>0</v>
      </c>
      <c r="BW59" s="196" t="b">
        <f>IFERROR(IF(OR(NOT(DF59),LOWER(TRIM(Y$20))=LOWER(TRIM(data2!$U$35))),TRUE,IF(AND(DF59,LOWER(TRIM(Y$20))=LOWER(TRIM(data2!$U$36))),FALSE)),FALSE)</f>
        <v>1</v>
      </c>
      <c r="BY59" s="154" t="str">
        <f t="shared" si="21"/>
        <v>15-Q-NCOI</v>
      </c>
      <c r="BZ59" s="154" t="str">
        <f t="shared" si="22"/>
        <v>15-E-NCOI</v>
      </c>
      <c r="CA59" s="154" t="str">
        <f t="shared" si="23"/>
        <v>15-T-NCOI</v>
      </c>
      <c r="CB59" s="154" t="str">
        <f t="shared" si="24"/>
        <v>CE59:CI59</v>
      </c>
      <c r="CC59" s="154" t="str">
        <f t="shared" si="25"/>
        <v>CK59:CO59</v>
      </c>
      <c r="CD59" s="154" t="str">
        <f t="shared" si="26"/>
        <v>CQ59:CU59</v>
      </c>
      <c r="CE59" s="359" cm="1">
        <f t="array" ref="CE59">IFERROR(IF($BY59&lt;&gt;"",
IF(AND(teacher_type="R",career_stage="P"),
    IF(INDEX(RPS[[Outstanding]:[Poor]],MATCH($BY59,RPS[[helper]:[helper]],0),CE$19)&lt;&gt;"",CE$20,""),
IF(AND(teacher_type="R",career_stage="HP"),
    IF(INDEX(RHPS[[Outstanding]:[Poor]],MATCH($BY59,RHPS[[helper]:[helper]],0),CE$19)&lt;&gt;"",CE$20,""),
IF(AND(teacher_type="TB",career_stage="P"),
    IF(INDEX(TBPS[[Outstanding]:[Poor]],MATCH($BY59,TBPS[[helper]:[helper]],0),CE$19)&lt;&gt;"",CE$20,""),
IF(AND(teacher_type="TB",career_stage="HP"),
    IF(INDEX(TBHPS[[Outstanding]:[Poor]],MATCH($BY59,TBHPS[[helper]:[helper]],0),CE$19)&lt;&gt;"",CE$20,""),
CE$20)))),
CE$20),CE$20)</f>
        <v>5</v>
      </c>
      <c r="CF59" s="359" cm="1">
        <f t="array" ref="CF59">IFERROR(IF($BY59&lt;&gt;"",
IF(AND(teacher_type="R",career_stage="P"),
    IF(INDEX(RPS[[Outstanding]:[Poor]],MATCH($BY59,RPS[[helper]:[helper]],0),CF$19)&lt;&gt;"",CF$20,""),
IF(AND(teacher_type="R",career_stage="HP"),
    IF(INDEX(RHPS[[Outstanding]:[Poor]],MATCH($BY59,RHPS[[helper]:[helper]],0),CF$19)&lt;&gt;"",CF$20,""),
IF(AND(teacher_type="TB",career_stage="P"),
    IF(INDEX(TBPS[[Outstanding]:[Poor]],MATCH($BY59,TBPS[[helper]:[helper]],0),CF$19)&lt;&gt;"",CF$20,""),
IF(AND(teacher_type="TB",career_stage="HP"),
    IF(INDEX(TBHPS[[Outstanding]:[Poor]],MATCH($BY59,TBHPS[[helper]:[helper]],0),CF$19)&lt;&gt;"",CF$20,""),
CF$20)))),
CF$20),CF$20)</f>
        <v>4</v>
      </c>
      <c r="CG59" s="359" cm="1">
        <f t="array" ref="CG59">IFERROR(IF($BY59&lt;&gt;"",
IF(AND(teacher_type="R",career_stage="P"),
    IF(INDEX(RPS[[Outstanding]:[Poor]],MATCH($BY59,RPS[[helper]:[helper]],0),CG$19)&lt;&gt;"",CG$20,""),
IF(AND(teacher_type="R",career_stage="HP"),
    IF(INDEX(RHPS[[Outstanding]:[Poor]],MATCH($BY59,RHPS[[helper]:[helper]],0),CG$19)&lt;&gt;"",CG$20,""),
IF(AND(teacher_type="TB",career_stage="P"),
    IF(INDEX(TBPS[[Outstanding]:[Poor]],MATCH($BY59,TBPS[[helper]:[helper]],0),CG$19)&lt;&gt;"",CG$20,""),
IF(AND(teacher_type="TB",career_stage="HP"),
    IF(INDEX(TBHPS[[Outstanding]:[Poor]],MATCH($BY59,TBHPS[[helper]:[helper]],0),CG$19)&lt;&gt;"",CG$20,""),
CG$20)))),
CG$20),CG$20)</f>
        <v>3</v>
      </c>
      <c r="CH59" s="359" cm="1">
        <f t="array" ref="CH59">IFERROR(IF($BY59&lt;&gt;"",
IF(AND(teacher_type="R",career_stage="P"),
    IF(INDEX(RPS[[Outstanding]:[Poor]],MATCH($BY59,RPS[[helper]:[helper]],0),CH$19)&lt;&gt;"",CH$20,""),
IF(AND(teacher_type="R",career_stage="HP"),
    IF(INDEX(RHPS[[Outstanding]:[Poor]],MATCH($BY59,RHPS[[helper]:[helper]],0),CH$19)&lt;&gt;"",CH$20,""),
IF(AND(teacher_type="TB",career_stage="P"),
    IF(INDEX(TBPS[[Outstanding]:[Poor]],MATCH($BY59,TBPS[[helper]:[helper]],0),CH$19)&lt;&gt;"",CH$20,""),
IF(AND(teacher_type="TB",career_stage="HP"),
    IF(INDEX(TBHPS[[Outstanding]:[Poor]],MATCH($BY59,TBHPS[[helper]:[helper]],0),CH$19)&lt;&gt;"",CH$20,""),
CH$20)))),
CH$20),CH$20)</f>
        <v>2</v>
      </c>
      <c r="CI59" s="359" cm="1">
        <f t="array" ref="CI59">IFERROR(IF($BY59&lt;&gt;"",
IF(AND(teacher_type="R",career_stage="P"),
    IF(INDEX(RPS[[Outstanding]:[Poor]],MATCH($BY59,RPS[[helper]:[helper]],0),CI$19)&lt;&gt;"",CI$20,""),
IF(AND(teacher_type="R",career_stage="HP"),
    IF(INDEX(RHPS[[Outstanding]:[Poor]],MATCH($BY59,RHPS[[helper]:[helper]],0),CI$19)&lt;&gt;"",CI$20,""),
IF(AND(teacher_type="TB",career_stage="P"),
    IF(INDEX(TBPS[[Outstanding]:[Poor]],MATCH($BY59,TBPS[[helper]:[helper]],0),CI$19)&lt;&gt;"",CI$20,""),
IF(AND(teacher_type="TB",career_stage="HP"),
    IF(INDEX(TBHPS[[Outstanding]:[Poor]],MATCH($BY59,TBHPS[[helper]:[helper]],0),CI$19)&lt;&gt;"",CI$20,""),
CI$20)))),
CI$20),CI$20)</f>
        <v>1</v>
      </c>
      <c r="CJ59" s="360">
        <f t="shared" si="27"/>
        <v>5</v>
      </c>
      <c r="CK59" s="359" cm="1">
        <f t="array" ref="CK59">IFERROR(IF($BZ59&lt;&gt;"",
IF(AND(teacher_type="R",career_stage="P"),
    IF(INDEX(RPS[[Outstanding]:[Poor]],MATCH($BZ59,RPS[[helper]:[helper]],0),CK$19)&lt;&gt;"",CK$20,""),
IF(AND(teacher_type="R",career_stage="HP"),
    IF(INDEX(RHPS[[Outstanding]:[Poor]],MATCH($BZ59,RHPS[[helper]:[helper]],0),CK$19)&lt;&gt;"",CK$20,""),
IF(AND(teacher_type="TB",career_stage="P"),
    IF(INDEX(TBPS[[Outstanding]:[Poor]],MATCH($BZ59,TBPS[[helper]:[helper]],0),CK$19)&lt;&gt;"",CK$20,""),
IF(AND(teacher_type="TB",career_stage="HP"),
    IF(INDEX(TBHPS[[Outstanding]:[Poor]],MATCH($BZ59,TBHPS[[helper]:[helper]],0),CK$19)&lt;&gt;"",CK$20,""),
CK$20)))),
CK$20),CK$20)</f>
        <v>5</v>
      </c>
      <c r="CL59" s="359" cm="1">
        <f t="array" ref="CL59">IFERROR(IF($BZ59&lt;&gt;"",
IF(AND(teacher_type="R",career_stage="P"),
    IF(INDEX(RPS[[Outstanding]:[Poor]],MATCH($BZ59,RPS[[helper]:[helper]],0),CL$19)&lt;&gt;"",CL$20,""),
IF(AND(teacher_type="R",career_stage="HP"),
    IF(INDEX(RHPS[[Outstanding]:[Poor]],MATCH($BZ59,RHPS[[helper]:[helper]],0),CL$19)&lt;&gt;"",CL$20,""),
IF(AND(teacher_type="TB",career_stage="P"),
    IF(INDEX(TBPS[[Outstanding]:[Poor]],MATCH($BZ59,TBPS[[helper]:[helper]],0),CL$19)&lt;&gt;"",CL$20,""),
IF(AND(teacher_type="TB",career_stage="HP"),
    IF(INDEX(TBHPS[[Outstanding]:[Poor]],MATCH($BZ59,TBHPS[[helper]:[helper]],0),CL$19)&lt;&gt;"",CL$20,""),
CL$20)))),
CL$20),CL$20)</f>
        <v>4</v>
      </c>
      <c r="CM59" s="359" cm="1">
        <f t="array" ref="CM59">IFERROR(IF($BZ59&lt;&gt;"",
IF(AND(teacher_type="R",career_stage="P"),
    IF(INDEX(RPS[[Outstanding]:[Poor]],MATCH($BZ59,RPS[[helper]:[helper]],0),CM$19)&lt;&gt;"",CM$20,""),
IF(AND(teacher_type="R",career_stage="HP"),
    IF(INDEX(RHPS[[Outstanding]:[Poor]],MATCH($BZ59,RHPS[[helper]:[helper]],0),CM$19)&lt;&gt;"",CM$20,""),
IF(AND(teacher_type="TB",career_stage="P"),
    IF(INDEX(TBPS[[Outstanding]:[Poor]],MATCH($BZ59,TBPS[[helper]:[helper]],0),CM$19)&lt;&gt;"",CM$20,""),
IF(AND(teacher_type="TB",career_stage="HP"),
    IF(INDEX(TBHPS[[Outstanding]:[Poor]],MATCH($BZ59,TBHPS[[helper]:[helper]],0),CM$19)&lt;&gt;"",CM$20,""),
CM$20)))),
CM$20),CM$20)</f>
        <v>3</v>
      </c>
      <c r="CN59" s="359" cm="1">
        <f t="array" ref="CN59">IFERROR(IF($BZ59&lt;&gt;"",
IF(AND(teacher_type="R",career_stage="P"),
    IF(INDEX(RPS[[Outstanding]:[Poor]],MATCH($BZ59,RPS[[helper]:[helper]],0),CN$19)&lt;&gt;"",CN$20,""),
IF(AND(teacher_type="R",career_stage="HP"),
    IF(INDEX(RHPS[[Outstanding]:[Poor]],MATCH($BZ59,RHPS[[helper]:[helper]],0),CN$19)&lt;&gt;"",CN$20,""),
IF(AND(teacher_type="TB",career_stage="P"),
    IF(INDEX(TBPS[[Outstanding]:[Poor]],MATCH($BZ59,TBPS[[helper]:[helper]],0),CN$19)&lt;&gt;"",CN$20,""),
IF(AND(teacher_type="TB",career_stage="HP"),
    IF(INDEX(TBHPS[[Outstanding]:[Poor]],MATCH($BZ59,TBHPS[[helper]:[helper]],0),CN$19)&lt;&gt;"",CN$20,""),
CN$20)))),
CN$20),CN$20)</f>
        <v>2</v>
      </c>
      <c r="CO59" s="359" cm="1">
        <f t="array" ref="CO59">IFERROR(IF($BZ59&lt;&gt;"",
IF(AND(teacher_type="R",career_stage="P"),
    IF(INDEX(RPS[[Outstanding]:[Poor]],MATCH($BZ59,RPS[[helper]:[helper]],0),CO$19)&lt;&gt;"",CO$20,""),
IF(AND(teacher_type="R",career_stage="HP"),
    IF(INDEX(RHPS[[Outstanding]:[Poor]],MATCH($BZ59,RHPS[[helper]:[helper]],0),CO$19)&lt;&gt;"",CO$20,""),
IF(AND(teacher_type="TB",career_stage="P"),
    IF(INDEX(TBPS[[Outstanding]:[Poor]],MATCH($BZ59,TBPS[[helper]:[helper]],0),CO$19)&lt;&gt;"",CO$20,""),
IF(AND(teacher_type="TB",career_stage="HP"),
    IF(INDEX(TBHPS[[Outstanding]:[Poor]],MATCH($BZ59,TBHPS[[helper]:[helper]],0),CO$19)&lt;&gt;"",CO$20,""),
CO$20)))),
CO$20),CO$20)</f>
        <v>1</v>
      </c>
      <c r="CP59" s="360">
        <f t="shared" si="28"/>
        <v>5</v>
      </c>
      <c r="CQ59" s="359" cm="1">
        <f t="array" ref="CQ59">IFERROR(IF($CA59&lt;&gt;"",
IF(AND(teacher_type="R",career_stage="P"),
    IF(INDEX(RPS[[Outstanding]:[Poor]],MATCH($CA59,RPS[[helper]:[helper]],0),CQ$19)&lt;&gt;"",CQ$20,""),
IF(AND(teacher_type="R",career_stage="HP"),
    IF(INDEX(RHPS[[Outstanding]:[Poor]],MATCH($CA59,RHPS[[helper]:[helper]],0),CQ$19)&lt;&gt;"",CQ$20,""),
IF(AND(teacher_type="TB",career_stage="P"),
    IF(INDEX(TBPS[[Outstanding]:[Poor]],MATCH($CA59,TBPS[[helper]:[helper]],0),CQ$19)&lt;&gt;"",CQ$20,""),
IF(AND(teacher_type="TB",career_stage="HP"),
    IF(INDEX(TBHPS[[Outstanding]:[Poor]],MATCH($CA59,TBHPS[[helper]:[helper]],0),CQ$19)&lt;&gt;"",CQ$20,""),
CQ$20)))),
CQ$20),CQ$20)</f>
        <v>5</v>
      </c>
      <c r="CR59" s="359" cm="1">
        <f t="array" ref="CR59">IFERROR(IF($CA59&lt;&gt;"",
IF(AND(teacher_type="R",career_stage="P"),
    IF(INDEX(RPS[[Outstanding]:[Poor]],MATCH($CA59,RPS[[helper]:[helper]],0),CR$19)&lt;&gt;"",CR$20,""),
IF(AND(teacher_type="R",career_stage="HP"),
    IF(INDEX(RHPS[[Outstanding]:[Poor]],MATCH($CA59,RHPS[[helper]:[helper]],0),CR$19)&lt;&gt;"",CR$20,""),
IF(AND(teacher_type="TB",career_stage="P"),
    IF(INDEX(TBPS[[Outstanding]:[Poor]],MATCH($CA59,TBPS[[helper]:[helper]],0),CR$19)&lt;&gt;"",CR$20,""),
IF(AND(teacher_type="TB",career_stage="HP"),
    IF(INDEX(TBHPS[[Outstanding]:[Poor]],MATCH($CA59,TBHPS[[helper]:[helper]],0),CR$19)&lt;&gt;"",CR$20,""),
CR$20)))),
CR$20),CR$20)</f>
        <v>4</v>
      </c>
      <c r="CS59" s="359" cm="1">
        <f t="array" ref="CS59">IFERROR(IF($CA59&lt;&gt;"",
IF(AND(teacher_type="R",career_stage="P"),
    IF(INDEX(RPS[[Outstanding]:[Poor]],MATCH($CA59,RPS[[helper]:[helper]],0),CS$19)&lt;&gt;"",CS$20,""),
IF(AND(teacher_type="R",career_stage="HP"),
    IF(INDEX(RHPS[[Outstanding]:[Poor]],MATCH($CA59,RHPS[[helper]:[helper]],0),CS$19)&lt;&gt;"",CS$20,""),
IF(AND(teacher_type="TB",career_stage="P"),
    IF(INDEX(TBPS[[Outstanding]:[Poor]],MATCH($CA59,TBPS[[helper]:[helper]],0),CS$19)&lt;&gt;"",CS$20,""),
IF(AND(teacher_type="TB",career_stage="HP"),
    IF(INDEX(TBHPS[[Outstanding]:[Poor]],MATCH($CA59,TBHPS[[helper]:[helper]],0),CS$19)&lt;&gt;"",CS$20,""),
CS$20)))),
CS$20),CS$20)</f>
        <v>3</v>
      </c>
      <c r="CT59" s="359" cm="1">
        <f t="array" ref="CT59">IFERROR(IF($CA59&lt;&gt;"",
IF(AND(teacher_type="R",career_stage="P"),
    IF(INDEX(RPS[[Outstanding]:[Poor]],MATCH($CA59,RPS[[helper]:[helper]],0),CT$19)&lt;&gt;"",CT$20,""),
IF(AND(teacher_type="R",career_stage="HP"),
    IF(INDEX(RHPS[[Outstanding]:[Poor]],MATCH($CA59,RHPS[[helper]:[helper]],0),CT$19)&lt;&gt;"",CT$20,""),
IF(AND(teacher_type="TB",career_stage="P"),
    IF(INDEX(TBPS[[Outstanding]:[Poor]],MATCH($CA59,TBPS[[helper]:[helper]],0),CT$19)&lt;&gt;"",CT$20,""),
IF(AND(teacher_type="TB",career_stage="HP"),
    IF(INDEX(TBHPS[[Outstanding]:[Poor]],MATCH($CA59,TBHPS[[helper]:[helper]],0),CT$19)&lt;&gt;"",CT$20,""),
CT$20)))),
CT$20),CT$20)</f>
        <v>2</v>
      </c>
      <c r="CU59" s="359" cm="1">
        <f t="array" ref="CU59">IFERROR(IF($CA59&lt;&gt;"",
IF(AND(teacher_type="R",career_stage="P"),
    IF(INDEX(RPS[[Outstanding]:[Poor]],MATCH($CA59,RPS[[helper]:[helper]],0),CU$19)&lt;&gt;"",CU$20,""),
IF(AND(teacher_type="R",career_stage="HP"),
    IF(INDEX(RHPS[[Outstanding]:[Poor]],MATCH($CA59,RHPS[[helper]:[helper]],0),CU$19)&lt;&gt;"",CU$20,""),
IF(AND(teacher_type="TB",career_stage="P"),
    IF(INDEX(TBPS[[Outstanding]:[Poor]],MATCH($CA59,TBPS[[helper]:[helper]],0),CU$19)&lt;&gt;"",CU$20,""),
IF(AND(teacher_type="TB",career_stage="HP"),
    IF(INDEX(TBHPS[[Outstanding]:[Poor]],MATCH($CA59,TBHPS[[helper]:[helper]],0),CU$19)&lt;&gt;"",CU$20,""),
CU$20)))),
CU$20),CU$20)</f>
        <v>1</v>
      </c>
      <c r="CV59" s="360">
        <f t="shared" si="29"/>
        <v>5</v>
      </c>
      <c r="CY59" s="443" t="b" cm="1">
        <f t="array" ref="CY59">IFERROR(AND(S$12,IF(AND($G59,$D59="COI"),
IF(AND(teacher_type="R",career_stage="P"),VLOOKUP($BF59,RPI[],COLUMN(RPI[cot1]),FALSE),
IF(AND(teacher_type="R",career_stage="HP"),VLOOKUP($BF59,RHPI[],COLUMN(RHPI[cot1]),FALSE),
IF(AND(teacher_type="TB",career_stage="P"),VLOOKUP($BF59,TBPI[],COLUMN(TBPI[cot1]),FALSE),
IF(AND(teacher_type="TB",career_stage="HP"),VLOOKUP($BF59,TBHPI[],COLUMN(TBHPI[cot1]),FALSE),FALSE)))),
FALSE)),FALSE)</f>
        <v>0</v>
      </c>
      <c r="CZ59" s="443" t="b">
        <f t="shared" si="30"/>
        <v>0</v>
      </c>
      <c r="DA59" s="443" t="b" cm="1">
        <f t="array" ref="DA59">IFERROR(AND(U$12,IF(AND($G59,$D59="COI"),
IF(AND(teacher_type="R",career_stage="P"),VLOOKUP($BF59,RPI[],COLUMN(RPI[cot2]),FALSE),
IF(AND(teacher_type="R",career_stage="HP"),VLOOKUP($BF59,RHPI[],COLUMN(RHPI[cot2]),FALSE),
IF(AND(teacher_type="TB",career_stage="P"),VLOOKUP($BF59,TBPI[],COLUMN(TBPI[cot2]),FALSE),
IF(AND(teacher_type="TB",career_stage="HP"),VLOOKUP($BF59,TBHPI[],COLUMN(TBHPI[cot2]),FALSE),FALSE)))),
FALSE)),FALSE)</f>
        <v>0</v>
      </c>
      <c r="DB59" s="443" t="b">
        <f t="shared" si="31"/>
        <v>0</v>
      </c>
      <c r="DC59" s="443" t="b" cm="1">
        <f t="array" ref="DC59">IFERROR(AND(W$12,IF(AND($G59,$D59="COI"),
IF(AND(teacher_type="R",career_stage="P"),VLOOKUP($BF59,RPI[],COLUMN(RPI[cot3]),FALSE),
IF(AND(teacher_type="R",career_stage="HP"),VLOOKUP($BF59,RHPI[],COLUMN(RHPI[cot3]),FALSE),
IF(AND(teacher_type="TB",career_stage="P"),VLOOKUP($BF59,TBPI[],COLUMN(TBPI[cot3]),FALSE),
IF(AND(teacher_type="TB",career_stage="HP"),VLOOKUP($BF59,TBHPI[],COLUMN(TBHPI[cot3]),FALSE),FALSE)))),
FALSE)),FALSE)</f>
        <v>0</v>
      </c>
      <c r="DD59" s="443" t="b">
        <f t="shared" si="32"/>
        <v>0</v>
      </c>
      <c r="DE59" s="443" t="b" cm="1">
        <f t="array" ref="DE59">IFERROR(AND(Y$12,IF(AND($G59,$D59="COI"),
IF(AND(teacher_type="R",career_stage="P"),VLOOKUP($BF59,RPI[],COLUMN(RPI[cot4]),FALSE),
IF(AND(teacher_type="R",career_stage="HP"),VLOOKUP($BF59,RHPI[],COLUMN(RHPI[cot4]),FALSE),
IF(AND(teacher_type="TB",career_stage="P"),VLOOKUP($BF59,TBPI[],COLUMN(TBPI[cot4]),FALSE),
IF(AND(teacher_type="TB",career_stage="HP"),VLOOKUP($BF59,TBHPI[],COLUMN(TBHPI[cot4]),FALSE),FALSE)))),
FALSE)),FALSE)</f>
        <v>0</v>
      </c>
      <c r="DF59" s="443" t="b">
        <f t="shared" si="33"/>
        <v>0</v>
      </c>
      <c r="DG59" s="150">
        <f t="shared" si="34"/>
        <v>0</v>
      </c>
      <c r="DH59" s="154">
        <f>IF(AND(CY59,LOWER(TRIM(S$20))=LOWER(TRIM(data2!$U$35))),1,0) +
IF(AND(DA59,LOWER(TRIM(U$20))=LOWER(TRIM(data2!$U$35))),1,0) +
IF(AND(DC59,LOWER(TRIM(W$20))=LOWER(TRIM(data2!$U$35))),1,0) +
IF(AND(DE59,LOWER(TRIM(Y$20))=LOWER(TRIM(data2!$U$35))),1,0)</f>
        <v>0</v>
      </c>
      <c r="DJ59" s="154">
        <f t="shared" si="35"/>
        <v>0</v>
      </c>
    </row>
    <row r="60" spans="1:114" s="154" customFormat="1" ht="24.95" hidden="1" customHeight="1" x14ac:dyDescent="0.25">
      <c r="A60" s="156"/>
      <c r="B60" s="154">
        <v>39</v>
      </c>
      <c r="C60" s="150" t="str">
        <f>IFERROR(IF(AND(teacher_type="R",career_stage="P"),VLOOKUP(O60,RPI[],COLUMNS(RPI[[Strand]:[admin_selected_coi_ncoi]]),FALSE),IF(AND(teacher_type="R",career_stage="HP"),VLOOKUP(O60,RHPI[],COLUMNS(RHPI[[Strand]:[admin_selected_coi_ncoi]]),FALSE),IF(AND(teacher_type="TB",career_stage="P"),VLOOKUP(O60,TBPI[],COLUMNS(TBPI[[Strand]:[admin_selected_coi_ncoi]]),FALSE),IF(AND(teacher_type="TB",career_stage="HP"),VLOOKUP(O60,TBHPI[],COLUMNS(TBHPI[[Strand]:[admin_selected_coi_ncoi]]),FALSE),"NCOI")))),"NCOI")</f>
        <v>NCOI</v>
      </c>
      <c r="D60" s="150" t="str">
        <f t="shared" si="10"/>
        <v/>
      </c>
      <c r="E60" s="150" t="str">
        <f>IFERROR(IF(AND(teacher_type="R",career_stage="P"),VLOOKUP($O60,RPI[[Strand]:[Domain]],COLUMNS(RPI[[Strand]:[Domain]]),FALSE),IF(AND(teacher_type="R",career_stage="HP"),VLOOKUP($O60,RHPI[[Strand]:[Domain]],COLUMNS(RHPI[[Strand]:[Domain]]),FALSE),IF(AND(teacher_type="TB",career_stage="P"),VLOOKUP($O60,TBPI[[Strand]:[Domain]],COLUMNS(TBPI[[Strand]:[Domain]]),FALSE),IF(AND(teacher_type="TB",career_stage="HP"),VLOOKUP($O60,TBHPI[[Strand]:[Domain]],COLUMNS(TBHPI[[Strand]:[Domain]]),FALSE),"")))),"")</f>
        <v/>
      </c>
      <c r="F60" s="155" t="b">
        <f>AND(COUNTIFS($E$22:$E60,E60,$G$22:$G60,TRUE)=1,$G60)</f>
        <v>0</v>
      </c>
      <c r="G60" s="212" t="b">
        <f>IFERROR(IF(AND(teacher_type="R",career_stage="P"),VLOOKUP($O60,RPI[],COLUMNS(RPI[[Strand]:[Selected]]),FALSE),IF(AND(teacher_type="R",career_stage="HP"),VLOOKUP($O60,RHPI[],COLUMNS(RHPI[[Strand]:[Selected]]),FALSE),IF(AND(teacher_type="TB",career_stage="P"),VLOOKUP($O60,TBPI[],COLUMNS(TBPI[[Strand]:[Selected]]),FALSE),IF(AND(teacher_type="TB",career_stage="HP"),VLOOKUP($O60,TBHPI[],COLUMNS(TBHPI[[Strand]:[Selected]]),FALSE),FALSE)))),FALSE)</f>
        <v>0</v>
      </c>
      <c r="H60" s="156" t="b">
        <f>IFERROR(IF(AND(teacher_type="R",career_stage="P"),AND(COUNTIFS(RPS[Strand],$O60,RPS[QET],H$21)&gt;0,$G60),IF(AND(teacher_type="R",career_stage="HP"),AND(COUNTIFS(RHPS[Strand],$O60,RHPS[QET],H$21)&gt;0,$G60),IF(AND(teacher_type="TB",career_stage="P"),AND(COUNTIFS(TBPS[Strand],$O60,TBPS[QET],H$21)&gt;0,$G60),IF(AND(teacher_type="TB",career_stage="HP"),AND(COUNTIFS(TBHPS[Strand],$O60,TBHPS[QET],H$21)&gt;0,$G60),FALSE)))),FALSE)</f>
        <v>0</v>
      </c>
      <c r="I60" s="156" t="b">
        <f t="shared" si="11"/>
        <v>0</v>
      </c>
      <c r="J60" s="156" t="b">
        <f>IFERROR(IF(AND(teacher_type="R",career_stage="P"),AND(COUNTIFS(RPS[Strand],$O60,RPS[QET],J$21)&gt;0,$G60),IF(AND(teacher_type="R",career_stage="HP"),AND(COUNTIFS(RHPS[Strand],$O60,RHPS[QET],J$21)&gt;0,$G60),IF(AND(teacher_type="TB",career_stage="P"),AND(COUNTIFS(TBPS[Strand],$O60,TBPS[QET],J$21)&gt;0,$G60),IF(AND(teacher_type="TB",career_stage="HP"),AND(COUNTIFS(TBHPS[Strand],$O60,TBHPS[QET],J$21)&gt;0,$G60),FALSE)))),FALSE)</f>
        <v>0</v>
      </c>
      <c r="K60" s="156" t="b">
        <f>IFERROR(IF(AND(teacher_type="R",career_stage="P"),AND(COUNTIFS(RPS[Strand],$O60,RPS[QET],K$21)&gt;0,$G60),IF(AND(teacher_type="R",career_stage="HP"),AND(COUNTIFS(RHPS[Strand],$O60,RHPS[QET],K$21)&gt;0,$G60),IF(AND(teacher_type="TB",career_stage="P"),AND(COUNTIFS(TBPS[Strand],$O60,TBPS[QET],K$21)&gt;0,$G60),IF(AND(teacher_type="TB",career_stage="HP"),AND(COUNTIFS(TBHPS[Strand],$O60,TBHPS[QET],K$21)&gt;0,$G60),FALSE)))),FALSE)</f>
        <v>0</v>
      </c>
      <c r="L60" s="156" t="b">
        <f t="shared" si="12"/>
        <v>0</v>
      </c>
      <c r="M60" s="165" t="str">
        <f t="shared" si="13"/>
        <v/>
      </c>
      <c r="N60" s="48" t="str">
        <f>IF($G60,COUNTIF($G$22:$G60,TRUE),"")</f>
        <v/>
      </c>
      <c r="O60" s="48" t="str" cm="1">
        <f t="array" ref="O60">IFERROR(IF(AND(teacher_type="R",career_stage="P"),INDEX(RPI[Strand],$B60),IF(AND(teacher_type="R",career_stage="HP"),INDEX(RHPI[Strand],$B60),IF(AND(teacher_type="TB",career_stage="P"),INDEX(TBPI[Strand],$B60),IF(AND(teacher_type="TB",career_stage="HP"),INDEX(TBHPI[Strand],$B60),"")))),"")</f>
        <v/>
      </c>
      <c r="P60" s="467" t="str">
        <f>$C$60</f>
        <v>NCOI</v>
      </c>
      <c r="Q60" s="173">
        <f>IFERROR(IF(AND(teacher_type="R",career_stage="P"),VLOOKUP(O60,RPI[],COLUMNS(RPI[[Strand]:[Weight]]),FALSE), IF(AND(teacher_type="R",career_stage="HP"),VLOOKUP(O60,RHPI[],COLUMNS(RHPI[[Strand]:[Weight]]),FALSE), IF(AND(teacher_type="TB",career_stage="P"),VLOOKUP(O60,TBPI[],COLUMNS(TBPI[[Strand]:[Weight]]),FALSE), IF(AND(teacher_type="TB",career_stage="HP"),VLOOKUP(O60,TBHPI[],COLUMNS(TBHPI[[Strand]:[Weight]]),FALSE),0)))),0)</f>
        <v>0</v>
      </c>
      <c r="R60" s="183"/>
      <c r="S60" s="484"/>
      <c r="T60" s="175" t="str">
        <f>IFERROR(IF(LOWER(TRIM(S$20))=LOWER(TRIM(data2!$U$35)),"",IF(AND($G60,$D60="COI",S$12,CZ60),IF(OR(LOWER(TRIM(S$20))=LOWER(TRIM(data2!$U$36)),ISBLANK(S60)),1,IF(career_stage="P",VLOOKUP(S60,P_COT_vlookup,2,FALSE),IF(career_stage="HP",VLOOKUP(S60,HP_COT_vlookup,2,FALSE),""))),"")),"")</f>
        <v/>
      </c>
      <c r="U60" s="484"/>
      <c r="V60" s="175" t="str">
        <f>IFERROR(IF(LOWER(TRIM(U$20))=LOWER(TRIM(data2!$U$35)),"",IF(AND($G60,$D60="COI",U$12,DB60),IF(OR(LOWER(TRIM(U$20))=LOWER(TRIM(data2!$U$36)),ISBLANK(U60)),1,IF(career_stage="P",VLOOKUP(U60,P_COT_vlookup,2,FALSE),IF(career_stage="HP",VLOOKUP(U60,HP_COT_vlookup,2,FALSE),""))),"")),"")</f>
        <v/>
      </c>
      <c r="W60" s="484"/>
      <c r="X60" s="175" t="str">
        <f>IFERROR(IF(LOWER(TRIM(W$20))=LOWER(TRIM(data2!$U$35)),"",IF(AND($G60,$D60="COI",W$12,DD60),IF(OR(LOWER(TRIM(W$20))=LOWER(TRIM(data2!$U$36)),ISBLANK(W60)),1,IF(career_stage="P",VLOOKUP(W60,P_COT_vlookup,2,FALSE),IF(career_stage="HP",VLOOKUP(W60,HP_COT_vlookup,2,FALSE),""))),"")),"")</f>
        <v/>
      </c>
      <c r="Y60" s="484"/>
      <c r="Z60" s="175" t="str">
        <f>IFERROR(IF(LOWER(TRIM(Y$20))=LOWER(TRIM(data2!$U$35)),"",IF(AND($G60,$D60="COI",Y$12,DF60),IF(OR(LOWER(TRIM(Y$20))=LOWER(TRIM(data2!$U$36)),ISBLANK(Y60)),1,IF(career_stage="P",VLOOKUP(Y60,P_COT_vlookup,2,FALSE),IF(career_stage="HP",VLOOKUP(Y60,HP_COT_vlookup,2,FALSE),""))),"")),"")</f>
        <v/>
      </c>
      <c r="AA60" s="171">
        <f t="shared" si="14"/>
        <v>0</v>
      </c>
      <c r="AB60" s="471"/>
      <c r="AC60" s="473"/>
      <c r="AD60" s="473"/>
      <c r="AE60" s="49">
        <f t="shared" si="2"/>
        <v>0</v>
      </c>
      <c r="AF60" s="184">
        <f t="shared" si="3"/>
        <v>0</v>
      </c>
      <c r="AG60" s="172" t="str">
        <f t="shared" si="4"/>
        <v>Poor</v>
      </c>
      <c r="AI60" s="196" t="b">
        <f t="shared" si="5"/>
        <v>1</v>
      </c>
      <c r="AJ60" s="154" t="b">
        <v>1</v>
      </c>
      <c r="AK60" s="154" t="b">
        <v>1</v>
      </c>
      <c r="AL60" s="196" t="b">
        <f t="shared" si="15"/>
        <v>1</v>
      </c>
      <c r="AM60" s="154" t="b">
        <v>1</v>
      </c>
      <c r="AN60" s="196" t="b">
        <f t="shared" si="15"/>
        <v>1</v>
      </c>
      <c r="AO60" s="154" t="b">
        <v>1</v>
      </c>
      <c r="AP60" s="196" t="b">
        <f t="shared" si="15"/>
        <v>1</v>
      </c>
      <c r="AQ60" s="154" t="b">
        <v>1</v>
      </c>
      <c r="AR60" s="196" t="b">
        <f t="shared" si="15"/>
        <v>1</v>
      </c>
      <c r="AS60" s="154" t="b">
        <v>1</v>
      </c>
      <c r="AT60" s="154" t="b">
        <v>1</v>
      </c>
      <c r="AU60" s="196" t="b">
        <f t="shared" si="6"/>
        <v>1</v>
      </c>
      <c r="AV60" s="196" t="b">
        <f t="shared" si="7"/>
        <v>1</v>
      </c>
      <c r="AW60" s="196" t="b">
        <f t="shared" si="8"/>
        <v>1</v>
      </c>
      <c r="AX60" s="47" t="b">
        <v>1</v>
      </c>
      <c r="AY60" s="47" t="b">
        <v>1</v>
      </c>
      <c r="AZ60" s="47" t="b">
        <v>1</v>
      </c>
      <c r="BF60" s="154" t="str">
        <f t="shared" si="9"/>
        <v/>
      </c>
      <c r="BG60" s="196" t="b" cm="1">
        <f t="array" ref="BG60">IFERROR(IF(OR(LOWER(TRIM(S$20))=LOWER(TRIM(data2!$U$35)),LOWER(TRIM(S$20))=LOWER(TRIM(data2!$U$36))),FALSE,AND(S$12,IF(AND($G60,$D60="COI"),
IF(AND(teacher_type="R",career_stage="P"),VLOOKUP($BF60,RPI[],COLUMN(RPI[cot1]),FALSE),
IF(AND(teacher_type="R",career_stage="HP"),VLOOKUP($BF60,RHPI[],COLUMN(RHPI[cot1]),FALSE),
IF(AND(teacher_type="TB",career_stage="P"),VLOOKUP($BF60,TBPI[],COLUMN(TBPI[cot1]),FALSE),
IF(AND(teacher_type="TB",career_stage="HP"),VLOOKUP($BF60,TBHPI[],COLUMN(TBHPI[cot1]),FALSE),FALSE)))),
FALSE))),FALSE)</f>
        <v>0</v>
      </c>
      <c r="BH60" s="154" t="b">
        <v>0</v>
      </c>
      <c r="BI60" s="196" t="b" cm="1">
        <f t="array" ref="BI60">IFERROR(IF(OR(LOWER(TRIM(U$20))=LOWER(TRIM(data2!$U$35)),LOWER(TRIM(U$20))=LOWER(TRIM(data2!$U$36))),FALSE,AND(U$12,IF(AND($G60,$D60="COI"),
IF(AND(teacher_type="R",career_stage="P"),VLOOKUP($BF60,RPI[],COLUMN(RPI[cot2]),FALSE),
IF(AND(teacher_type="R",career_stage="HP"),VLOOKUP($BF60,RHPI[],COLUMN(RHPI[cot2]),FALSE),
IF(AND(teacher_type="TB",career_stage="P"),VLOOKUP($BF60,TBPI[],COLUMN(TBPI[cot2]),FALSE),
IF(AND(teacher_type="TB",career_stage="HP"),VLOOKUP($BF60,TBHPI[],COLUMN(TBHPI[cot2]),FALSE),FALSE)))),
FALSE))),FALSE)</f>
        <v>0</v>
      </c>
      <c r="BJ60" s="154" t="b">
        <v>0</v>
      </c>
      <c r="BK60" s="196" t="b" cm="1">
        <f t="array" ref="BK60">IFERROR(IF(OR(LOWER(TRIM(W$20))=LOWER(TRIM(data2!$U$35)),LOWER(TRIM(W$20))=LOWER(TRIM(data2!$U$36))),FALSE,AND(W$12,IF(AND($G60,$D60="COI"),
IF(AND(teacher_type="R",career_stage="P"),VLOOKUP($BF60,RPI[],COLUMN(RPI[cot3]),FALSE),
IF(AND(teacher_type="R",career_stage="HP"),VLOOKUP($BF60,RHPI[],COLUMN(RHPI[cot3]),FALSE),
IF(AND(teacher_type="TB",career_stage="P"),VLOOKUP($BF60,TBPI[],COLUMN(TBPI[cot3]),FALSE),
IF(AND(teacher_type="TB",career_stage="HP"),VLOOKUP($BF60,TBHPI[],COLUMN(TBHPI[cot3]),FALSE),FALSE)))),
FALSE))),FALSE)</f>
        <v>0</v>
      </c>
      <c r="BL60" s="154" t="b">
        <v>0</v>
      </c>
      <c r="BM60" s="196" t="b" cm="1">
        <f t="array" ref="BM60">IFERROR(IF(OR(LOWER(TRIM(Y$20))=LOWER(TRIM(data2!$U$35)),LOWER(TRIM(Y$20))=LOWER(TRIM(data2!$U$36))),FALSE,AND(Y$12,IF(AND($G60,$D60="COI"),
IF(AND(teacher_type="R",career_stage="P"),VLOOKUP($BF60,RPI[],COLUMN(RPI[cot4]),FALSE),
IF(AND(teacher_type="R",career_stage="HP"),VLOOKUP($BF60,RHPI[],COLUMN(RHPI[cot4]),FALSE),
IF(AND(teacher_type="TB",career_stage="P"),VLOOKUP($BF60,TBPI[],COLUMN(TBPI[cot4]),FALSE),
IF(AND(teacher_type="TB",career_stage="HP"),VLOOKUP($BF60,TBHPI[],COLUMN(TBHPI[cot4]),FALSE),FALSE)))),
FALSE))),FALSE)</f>
        <v>0</v>
      </c>
      <c r="BN60" s="154" t="b">
        <v>0</v>
      </c>
      <c r="BO60" s="150">
        <f t="shared" si="16"/>
        <v>0</v>
      </c>
      <c r="BP60" s="196" t="b">
        <f t="shared" si="17"/>
        <v>0</v>
      </c>
      <c r="BQ60" s="196" t="b">
        <f>IFERROR(IF(OR(NOT(CZ60),LOWER(TRIM(S$20))=LOWER(TRIM(data2!$U$35))),TRUE,IF(AND(CZ60,LOWER(TRIM(S$20))=LOWER(TRIM(data2!$U$36))),FALSE)),FALSE)</f>
        <v>1</v>
      </c>
      <c r="BR60" s="196" t="b">
        <f t="shared" si="18"/>
        <v>0</v>
      </c>
      <c r="BS60" s="196" t="b">
        <f>IFERROR(IF(OR(NOT(DB60),LOWER(TRIM(U$20))=LOWER(TRIM(data2!$U$35))),TRUE,IF(AND(DB60,LOWER(TRIM(U$20))=LOWER(TRIM(data2!$U$36))),FALSE)),FALSE)</f>
        <v>1</v>
      </c>
      <c r="BT60" s="196" t="b">
        <f t="shared" si="19"/>
        <v>0</v>
      </c>
      <c r="BU60" s="196" t="b">
        <f>IFERROR(IF(OR(NOT(DD60),LOWER(TRIM(W$20))=LOWER(TRIM(data2!$U$35))),TRUE,IF(AND(DD60,LOWER(TRIM(W$20))=LOWER(TRIM(data2!$U$36))),FALSE)),FALSE)</f>
        <v>1</v>
      </c>
      <c r="BV60" s="196" t="b">
        <f t="shared" si="20"/>
        <v>0</v>
      </c>
      <c r="BW60" s="196" t="b">
        <f>IFERROR(IF(OR(NOT(DF60),LOWER(TRIM(Y$20))=LOWER(TRIM(data2!$U$35))),TRUE,IF(AND(DF60,LOWER(TRIM(Y$20))=LOWER(TRIM(data2!$U$36))),FALSE)),FALSE)</f>
        <v>1</v>
      </c>
      <c r="BY60" s="154" t="str">
        <f t="shared" si="21"/>
        <v/>
      </c>
      <c r="BZ60" s="154" t="str">
        <f t="shared" si="22"/>
        <v/>
      </c>
      <c r="CA60" s="154" t="str">
        <f t="shared" si="23"/>
        <v/>
      </c>
      <c r="CB60" s="154" t="str">
        <f t="shared" si="24"/>
        <v>CE60:CI60</v>
      </c>
      <c r="CC60" s="154" t="str">
        <f t="shared" si="25"/>
        <v>CK60:CO60</v>
      </c>
      <c r="CD60" s="154" t="str">
        <f t="shared" si="26"/>
        <v>CQ60:CU60</v>
      </c>
      <c r="CE60" s="359" cm="1">
        <f t="array" ref="CE60">IFERROR(IF($BY60&lt;&gt;"",
IF(AND(teacher_type="R",career_stage="P"),
    IF(INDEX(RPS[[Outstanding]:[Poor]],MATCH($BY60,RPS[[helper]:[helper]],0),CE$19)&lt;&gt;"",CE$20,""),
IF(AND(teacher_type="R",career_stage="HP"),
    IF(INDEX(RHPS[[Outstanding]:[Poor]],MATCH($BY60,RHPS[[helper]:[helper]],0),CE$19)&lt;&gt;"",CE$20,""),
IF(AND(teacher_type="TB",career_stage="P"),
    IF(INDEX(TBPS[[Outstanding]:[Poor]],MATCH($BY60,TBPS[[helper]:[helper]],0),CE$19)&lt;&gt;"",CE$20,""),
IF(AND(teacher_type="TB",career_stage="HP"),
    IF(INDEX(TBHPS[[Outstanding]:[Poor]],MATCH($BY60,TBHPS[[helper]:[helper]],0),CE$19)&lt;&gt;"",CE$20,""),
CE$20)))),
CE$20),CE$20)</f>
        <v>5</v>
      </c>
      <c r="CF60" s="359" cm="1">
        <f t="array" ref="CF60">IFERROR(IF($BY60&lt;&gt;"",
IF(AND(teacher_type="R",career_stage="P"),
    IF(INDEX(RPS[[Outstanding]:[Poor]],MATCH($BY60,RPS[[helper]:[helper]],0),CF$19)&lt;&gt;"",CF$20,""),
IF(AND(teacher_type="R",career_stage="HP"),
    IF(INDEX(RHPS[[Outstanding]:[Poor]],MATCH($BY60,RHPS[[helper]:[helper]],0),CF$19)&lt;&gt;"",CF$20,""),
IF(AND(teacher_type="TB",career_stage="P"),
    IF(INDEX(TBPS[[Outstanding]:[Poor]],MATCH($BY60,TBPS[[helper]:[helper]],0),CF$19)&lt;&gt;"",CF$20,""),
IF(AND(teacher_type="TB",career_stage="HP"),
    IF(INDEX(TBHPS[[Outstanding]:[Poor]],MATCH($BY60,TBHPS[[helper]:[helper]],0),CF$19)&lt;&gt;"",CF$20,""),
CF$20)))),
CF$20),CF$20)</f>
        <v>4</v>
      </c>
      <c r="CG60" s="359" cm="1">
        <f t="array" ref="CG60">IFERROR(IF($BY60&lt;&gt;"",
IF(AND(teacher_type="R",career_stage="P"),
    IF(INDEX(RPS[[Outstanding]:[Poor]],MATCH($BY60,RPS[[helper]:[helper]],0),CG$19)&lt;&gt;"",CG$20,""),
IF(AND(teacher_type="R",career_stage="HP"),
    IF(INDEX(RHPS[[Outstanding]:[Poor]],MATCH($BY60,RHPS[[helper]:[helper]],0),CG$19)&lt;&gt;"",CG$20,""),
IF(AND(teacher_type="TB",career_stage="P"),
    IF(INDEX(TBPS[[Outstanding]:[Poor]],MATCH($BY60,TBPS[[helper]:[helper]],0),CG$19)&lt;&gt;"",CG$20,""),
IF(AND(teacher_type="TB",career_stage="HP"),
    IF(INDEX(TBHPS[[Outstanding]:[Poor]],MATCH($BY60,TBHPS[[helper]:[helper]],0),CG$19)&lt;&gt;"",CG$20,""),
CG$20)))),
CG$20),CG$20)</f>
        <v>3</v>
      </c>
      <c r="CH60" s="359" cm="1">
        <f t="array" ref="CH60">IFERROR(IF($BY60&lt;&gt;"",
IF(AND(teacher_type="R",career_stage="P"),
    IF(INDEX(RPS[[Outstanding]:[Poor]],MATCH($BY60,RPS[[helper]:[helper]],0),CH$19)&lt;&gt;"",CH$20,""),
IF(AND(teacher_type="R",career_stage="HP"),
    IF(INDEX(RHPS[[Outstanding]:[Poor]],MATCH($BY60,RHPS[[helper]:[helper]],0),CH$19)&lt;&gt;"",CH$20,""),
IF(AND(teacher_type="TB",career_stage="P"),
    IF(INDEX(TBPS[[Outstanding]:[Poor]],MATCH($BY60,TBPS[[helper]:[helper]],0),CH$19)&lt;&gt;"",CH$20,""),
IF(AND(teacher_type="TB",career_stage="HP"),
    IF(INDEX(TBHPS[[Outstanding]:[Poor]],MATCH($BY60,TBHPS[[helper]:[helper]],0),CH$19)&lt;&gt;"",CH$20,""),
CH$20)))),
CH$20),CH$20)</f>
        <v>2</v>
      </c>
      <c r="CI60" s="359" cm="1">
        <f t="array" ref="CI60">IFERROR(IF($BY60&lt;&gt;"",
IF(AND(teacher_type="R",career_stage="P"),
    IF(INDEX(RPS[[Outstanding]:[Poor]],MATCH($BY60,RPS[[helper]:[helper]],0),CI$19)&lt;&gt;"",CI$20,""),
IF(AND(teacher_type="R",career_stage="HP"),
    IF(INDEX(RHPS[[Outstanding]:[Poor]],MATCH($BY60,RHPS[[helper]:[helper]],0),CI$19)&lt;&gt;"",CI$20,""),
IF(AND(teacher_type="TB",career_stage="P"),
    IF(INDEX(TBPS[[Outstanding]:[Poor]],MATCH($BY60,TBPS[[helper]:[helper]],0),CI$19)&lt;&gt;"",CI$20,""),
IF(AND(teacher_type="TB",career_stage="HP"),
    IF(INDEX(TBHPS[[Outstanding]:[Poor]],MATCH($BY60,TBHPS[[helper]:[helper]],0),CI$19)&lt;&gt;"",CI$20,""),
CI$20)))),
CI$20),CI$20)</f>
        <v>1</v>
      </c>
      <c r="CJ60" s="360">
        <f t="shared" si="27"/>
        <v>5</v>
      </c>
      <c r="CK60" s="359" cm="1">
        <f t="array" ref="CK60">IFERROR(IF($BZ60&lt;&gt;"",
IF(AND(teacher_type="R",career_stage="P"),
    IF(INDEX(RPS[[Outstanding]:[Poor]],MATCH($BZ60,RPS[[helper]:[helper]],0),CK$19)&lt;&gt;"",CK$20,""),
IF(AND(teacher_type="R",career_stage="HP"),
    IF(INDEX(RHPS[[Outstanding]:[Poor]],MATCH($BZ60,RHPS[[helper]:[helper]],0),CK$19)&lt;&gt;"",CK$20,""),
IF(AND(teacher_type="TB",career_stage="P"),
    IF(INDEX(TBPS[[Outstanding]:[Poor]],MATCH($BZ60,TBPS[[helper]:[helper]],0),CK$19)&lt;&gt;"",CK$20,""),
IF(AND(teacher_type="TB",career_stage="HP"),
    IF(INDEX(TBHPS[[Outstanding]:[Poor]],MATCH($BZ60,TBHPS[[helper]:[helper]],0),CK$19)&lt;&gt;"",CK$20,""),
CK$20)))),
CK$20),CK$20)</f>
        <v>5</v>
      </c>
      <c r="CL60" s="359" cm="1">
        <f t="array" ref="CL60">IFERROR(IF($BZ60&lt;&gt;"",
IF(AND(teacher_type="R",career_stage="P"),
    IF(INDEX(RPS[[Outstanding]:[Poor]],MATCH($BZ60,RPS[[helper]:[helper]],0),CL$19)&lt;&gt;"",CL$20,""),
IF(AND(teacher_type="R",career_stage="HP"),
    IF(INDEX(RHPS[[Outstanding]:[Poor]],MATCH($BZ60,RHPS[[helper]:[helper]],0),CL$19)&lt;&gt;"",CL$20,""),
IF(AND(teacher_type="TB",career_stage="P"),
    IF(INDEX(TBPS[[Outstanding]:[Poor]],MATCH($BZ60,TBPS[[helper]:[helper]],0),CL$19)&lt;&gt;"",CL$20,""),
IF(AND(teacher_type="TB",career_stage="HP"),
    IF(INDEX(TBHPS[[Outstanding]:[Poor]],MATCH($BZ60,TBHPS[[helper]:[helper]],0),CL$19)&lt;&gt;"",CL$20,""),
CL$20)))),
CL$20),CL$20)</f>
        <v>4</v>
      </c>
      <c r="CM60" s="359" cm="1">
        <f t="array" ref="CM60">IFERROR(IF($BZ60&lt;&gt;"",
IF(AND(teacher_type="R",career_stage="P"),
    IF(INDEX(RPS[[Outstanding]:[Poor]],MATCH($BZ60,RPS[[helper]:[helper]],0),CM$19)&lt;&gt;"",CM$20,""),
IF(AND(teacher_type="R",career_stage="HP"),
    IF(INDEX(RHPS[[Outstanding]:[Poor]],MATCH($BZ60,RHPS[[helper]:[helper]],0),CM$19)&lt;&gt;"",CM$20,""),
IF(AND(teacher_type="TB",career_stage="P"),
    IF(INDEX(TBPS[[Outstanding]:[Poor]],MATCH($BZ60,TBPS[[helper]:[helper]],0),CM$19)&lt;&gt;"",CM$20,""),
IF(AND(teacher_type="TB",career_stage="HP"),
    IF(INDEX(TBHPS[[Outstanding]:[Poor]],MATCH($BZ60,TBHPS[[helper]:[helper]],0),CM$19)&lt;&gt;"",CM$20,""),
CM$20)))),
CM$20),CM$20)</f>
        <v>3</v>
      </c>
      <c r="CN60" s="359" cm="1">
        <f t="array" ref="CN60">IFERROR(IF($BZ60&lt;&gt;"",
IF(AND(teacher_type="R",career_stage="P"),
    IF(INDEX(RPS[[Outstanding]:[Poor]],MATCH($BZ60,RPS[[helper]:[helper]],0),CN$19)&lt;&gt;"",CN$20,""),
IF(AND(teacher_type="R",career_stage="HP"),
    IF(INDEX(RHPS[[Outstanding]:[Poor]],MATCH($BZ60,RHPS[[helper]:[helper]],0),CN$19)&lt;&gt;"",CN$20,""),
IF(AND(teacher_type="TB",career_stage="P"),
    IF(INDEX(TBPS[[Outstanding]:[Poor]],MATCH($BZ60,TBPS[[helper]:[helper]],0),CN$19)&lt;&gt;"",CN$20,""),
IF(AND(teacher_type="TB",career_stage="HP"),
    IF(INDEX(TBHPS[[Outstanding]:[Poor]],MATCH($BZ60,TBHPS[[helper]:[helper]],0),CN$19)&lt;&gt;"",CN$20,""),
CN$20)))),
CN$20),CN$20)</f>
        <v>2</v>
      </c>
      <c r="CO60" s="359" cm="1">
        <f t="array" ref="CO60">IFERROR(IF($BZ60&lt;&gt;"",
IF(AND(teacher_type="R",career_stage="P"),
    IF(INDEX(RPS[[Outstanding]:[Poor]],MATCH($BZ60,RPS[[helper]:[helper]],0),CO$19)&lt;&gt;"",CO$20,""),
IF(AND(teacher_type="R",career_stage="HP"),
    IF(INDEX(RHPS[[Outstanding]:[Poor]],MATCH($BZ60,RHPS[[helper]:[helper]],0),CO$19)&lt;&gt;"",CO$20,""),
IF(AND(teacher_type="TB",career_stage="P"),
    IF(INDEX(TBPS[[Outstanding]:[Poor]],MATCH($BZ60,TBPS[[helper]:[helper]],0),CO$19)&lt;&gt;"",CO$20,""),
IF(AND(teacher_type="TB",career_stage="HP"),
    IF(INDEX(TBHPS[[Outstanding]:[Poor]],MATCH($BZ60,TBHPS[[helper]:[helper]],0),CO$19)&lt;&gt;"",CO$20,""),
CO$20)))),
CO$20),CO$20)</f>
        <v>1</v>
      </c>
      <c r="CP60" s="360">
        <f t="shared" si="28"/>
        <v>5</v>
      </c>
      <c r="CQ60" s="359" cm="1">
        <f t="array" ref="CQ60">IFERROR(IF($CA60&lt;&gt;"",
IF(AND(teacher_type="R",career_stage="P"),
    IF(INDEX(RPS[[Outstanding]:[Poor]],MATCH($CA60,RPS[[helper]:[helper]],0),CQ$19)&lt;&gt;"",CQ$20,""),
IF(AND(teacher_type="R",career_stage="HP"),
    IF(INDEX(RHPS[[Outstanding]:[Poor]],MATCH($CA60,RHPS[[helper]:[helper]],0),CQ$19)&lt;&gt;"",CQ$20,""),
IF(AND(teacher_type="TB",career_stage="P"),
    IF(INDEX(TBPS[[Outstanding]:[Poor]],MATCH($CA60,TBPS[[helper]:[helper]],0),CQ$19)&lt;&gt;"",CQ$20,""),
IF(AND(teacher_type="TB",career_stage="HP"),
    IF(INDEX(TBHPS[[Outstanding]:[Poor]],MATCH($CA60,TBHPS[[helper]:[helper]],0),CQ$19)&lt;&gt;"",CQ$20,""),
CQ$20)))),
CQ$20),CQ$20)</f>
        <v>5</v>
      </c>
      <c r="CR60" s="359" cm="1">
        <f t="array" ref="CR60">IFERROR(IF($CA60&lt;&gt;"",
IF(AND(teacher_type="R",career_stage="P"),
    IF(INDEX(RPS[[Outstanding]:[Poor]],MATCH($CA60,RPS[[helper]:[helper]],0),CR$19)&lt;&gt;"",CR$20,""),
IF(AND(teacher_type="R",career_stage="HP"),
    IF(INDEX(RHPS[[Outstanding]:[Poor]],MATCH($CA60,RHPS[[helper]:[helper]],0),CR$19)&lt;&gt;"",CR$20,""),
IF(AND(teacher_type="TB",career_stage="P"),
    IF(INDEX(TBPS[[Outstanding]:[Poor]],MATCH($CA60,TBPS[[helper]:[helper]],0),CR$19)&lt;&gt;"",CR$20,""),
IF(AND(teacher_type="TB",career_stage="HP"),
    IF(INDEX(TBHPS[[Outstanding]:[Poor]],MATCH($CA60,TBHPS[[helper]:[helper]],0),CR$19)&lt;&gt;"",CR$20,""),
CR$20)))),
CR$20),CR$20)</f>
        <v>4</v>
      </c>
      <c r="CS60" s="359" cm="1">
        <f t="array" ref="CS60">IFERROR(IF($CA60&lt;&gt;"",
IF(AND(teacher_type="R",career_stage="P"),
    IF(INDEX(RPS[[Outstanding]:[Poor]],MATCH($CA60,RPS[[helper]:[helper]],0),CS$19)&lt;&gt;"",CS$20,""),
IF(AND(teacher_type="R",career_stage="HP"),
    IF(INDEX(RHPS[[Outstanding]:[Poor]],MATCH($CA60,RHPS[[helper]:[helper]],0),CS$19)&lt;&gt;"",CS$20,""),
IF(AND(teacher_type="TB",career_stage="P"),
    IF(INDEX(TBPS[[Outstanding]:[Poor]],MATCH($CA60,TBPS[[helper]:[helper]],0),CS$19)&lt;&gt;"",CS$20,""),
IF(AND(teacher_type="TB",career_stage="HP"),
    IF(INDEX(TBHPS[[Outstanding]:[Poor]],MATCH($CA60,TBHPS[[helper]:[helper]],0),CS$19)&lt;&gt;"",CS$20,""),
CS$20)))),
CS$20),CS$20)</f>
        <v>3</v>
      </c>
      <c r="CT60" s="359" cm="1">
        <f t="array" ref="CT60">IFERROR(IF($CA60&lt;&gt;"",
IF(AND(teacher_type="R",career_stage="P"),
    IF(INDEX(RPS[[Outstanding]:[Poor]],MATCH($CA60,RPS[[helper]:[helper]],0),CT$19)&lt;&gt;"",CT$20,""),
IF(AND(teacher_type="R",career_stage="HP"),
    IF(INDEX(RHPS[[Outstanding]:[Poor]],MATCH($CA60,RHPS[[helper]:[helper]],0),CT$19)&lt;&gt;"",CT$20,""),
IF(AND(teacher_type="TB",career_stage="P"),
    IF(INDEX(TBPS[[Outstanding]:[Poor]],MATCH($CA60,TBPS[[helper]:[helper]],0),CT$19)&lt;&gt;"",CT$20,""),
IF(AND(teacher_type="TB",career_stage="HP"),
    IF(INDEX(TBHPS[[Outstanding]:[Poor]],MATCH($CA60,TBHPS[[helper]:[helper]],0),CT$19)&lt;&gt;"",CT$20,""),
CT$20)))),
CT$20),CT$20)</f>
        <v>2</v>
      </c>
      <c r="CU60" s="359" cm="1">
        <f t="array" ref="CU60">IFERROR(IF($CA60&lt;&gt;"",
IF(AND(teacher_type="R",career_stage="P"),
    IF(INDEX(RPS[[Outstanding]:[Poor]],MATCH($CA60,RPS[[helper]:[helper]],0),CU$19)&lt;&gt;"",CU$20,""),
IF(AND(teacher_type="R",career_stage="HP"),
    IF(INDEX(RHPS[[Outstanding]:[Poor]],MATCH($CA60,RHPS[[helper]:[helper]],0),CU$19)&lt;&gt;"",CU$20,""),
IF(AND(teacher_type="TB",career_stage="P"),
    IF(INDEX(TBPS[[Outstanding]:[Poor]],MATCH($CA60,TBPS[[helper]:[helper]],0),CU$19)&lt;&gt;"",CU$20,""),
IF(AND(teacher_type="TB",career_stage="HP"),
    IF(INDEX(TBHPS[[Outstanding]:[Poor]],MATCH($CA60,TBHPS[[helper]:[helper]],0),CU$19)&lt;&gt;"",CU$20,""),
CU$20)))),
CU$20),CU$20)</f>
        <v>1</v>
      </c>
      <c r="CV60" s="360">
        <f t="shared" si="29"/>
        <v>5</v>
      </c>
      <c r="CY60" s="443" t="b" cm="1">
        <f t="array" ref="CY60">IFERROR(AND(S$12,IF(AND($G60,$D60="COI"),
IF(AND(teacher_type="R",career_stage="P"),VLOOKUP($BF60,RPI[],COLUMN(RPI[cot1]),FALSE),
IF(AND(teacher_type="R",career_stage="HP"),VLOOKUP($BF60,RHPI[],COLUMN(RHPI[cot1]),FALSE),
IF(AND(teacher_type="TB",career_stage="P"),VLOOKUP($BF60,TBPI[],COLUMN(TBPI[cot1]),FALSE),
IF(AND(teacher_type="TB",career_stage="HP"),VLOOKUP($BF60,TBHPI[],COLUMN(TBHPI[cot1]),FALSE),FALSE)))),
FALSE)),FALSE)</f>
        <v>0</v>
      </c>
      <c r="CZ60" s="443" t="b">
        <f t="shared" si="30"/>
        <v>0</v>
      </c>
      <c r="DA60" s="443" t="b" cm="1">
        <f t="array" ref="DA60">IFERROR(AND(U$12,IF(AND($G60,$D60="COI"),
IF(AND(teacher_type="R",career_stage="P"),VLOOKUP($BF60,RPI[],COLUMN(RPI[cot2]),FALSE),
IF(AND(teacher_type="R",career_stage="HP"),VLOOKUP($BF60,RHPI[],COLUMN(RHPI[cot2]),FALSE),
IF(AND(teacher_type="TB",career_stage="P"),VLOOKUP($BF60,TBPI[],COLUMN(TBPI[cot2]),FALSE),
IF(AND(teacher_type="TB",career_stage="HP"),VLOOKUP($BF60,TBHPI[],COLUMN(TBHPI[cot2]),FALSE),FALSE)))),
FALSE)),FALSE)</f>
        <v>0</v>
      </c>
      <c r="DB60" s="443" t="b">
        <f t="shared" si="31"/>
        <v>0</v>
      </c>
      <c r="DC60" s="443" t="b" cm="1">
        <f t="array" ref="DC60">IFERROR(AND(W$12,IF(AND($G60,$D60="COI"),
IF(AND(teacher_type="R",career_stage="P"),VLOOKUP($BF60,RPI[],COLUMN(RPI[cot3]),FALSE),
IF(AND(teacher_type="R",career_stage="HP"),VLOOKUP($BF60,RHPI[],COLUMN(RHPI[cot3]),FALSE),
IF(AND(teacher_type="TB",career_stage="P"),VLOOKUP($BF60,TBPI[],COLUMN(TBPI[cot3]),FALSE),
IF(AND(teacher_type="TB",career_stage="HP"),VLOOKUP($BF60,TBHPI[],COLUMN(TBHPI[cot3]),FALSE),FALSE)))),
FALSE)),FALSE)</f>
        <v>0</v>
      </c>
      <c r="DD60" s="443" t="b">
        <f t="shared" si="32"/>
        <v>0</v>
      </c>
      <c r="DE60" s="443" t="b" cm="1">
        <f t="array" ref="DE60">IFERROR(AND(Y$12,IF(AND($G60,$D60="COI"),
IF(AND(teacher_type="R",career_stage="P"),VLOOKUP($BF60,RPI[],COLUMN(RPI[cot4]),FALSE),
IF(AND(teacher_type="R",career_stage="HP"),VLOOKUP($BF60,RHPI[],COLUMN(RHPI[cot4]),FALSE),
IF(AND(teacher_type="TB",career_stage="P"),VLOOKUP($BF60,TBPI[],COLUMN(TBPI[cot4]),FALSE),
IF(AND(teacher_type="TB",career_stage="HP"),VLOOKUP($BF60,TBHPI[],COLUMN(TBHPI[cot4]),FALSE),FALSE)))),
FALSE)),FALSE)</f>
        <v>0</v>
      </c>
      <c r="DF60" s="443" t="b">
        <f t="shared" si="33"/>
        <v>0</v>
      </c>
      <c r="DG60" s="150">
        <f t="shared" si="34"/>
        <v>0</v>
      </c>
      <c r="DH60" s="154">
        <f>IF(AND(CY60,LOWER(TRIM(S$20))=LOWER(TRIM(data2!$U$35))),1,0) +
IF(AND(DA60,LOWER(TRIM(U$20))=LOWER(TRIM(data2!$U$35))),1,0) +
IF(AND(DC60,LOWER(TRIM(W$20))=LOWER(TRIM(data2!$U$35))),1,0) +
IF(AND(DE60,LOWER(TRIM(Y$20))=LOWER(TRIM(data2!$U$35))),1,0)</f>
        <v>0</v>
      </c>
      <c r="DJ60" s="154">
        <f t="shared" si="35"/>
        <v>0</v>
      </c>
    </row>
    <row r="61" spans="1:114" s="154" customFormat="1" ht="24.95" hidden="1" customHeight="1" x14ac:dyDescent="0.25">
      <c r="A61" s="156"/>
      <c r="B61" s="154">
        <v>40</v>
      </c>
      <c r="C61" s="150" t="str">
        <f>IFERROR(IF(AND(teacher_type="R",career_stage="P"),VLOOKUP(O61,RPI[],COLUMNS(RPI[[Strand]:[admin_selected_coi_ncoi]]),FALSE),IF(AND(teacher_type="R",career_stage="HP"),VLOOKUP(O61,RHPI[],COLUMNS(RHPI[[Strand]:[admin_selected_coi_ncoi]]),FALSE),IF(AND(teacher_type="TB",career_stage="P"),VLOOKUP(O61,TBPI[],COLUMNS(TBPI[[Strand]:[admin_selected_coi_ncoi]]),FALSE),IF(AND(teacher_type="TB",career_stage="HP"),VLOOKUP(O61,TBHPI[],COLUMNS(TBHPI[[Strand]:[admin_selected_coi_ncoi]]),FALSE),"NCOI")))),"NCOI")</f>
        <v>NCOI</v>
      </c>
      <c r="D61" s="150" t="str">
        <f t="shared" si="10"/>
        <v/>
      </c>
      <c r="E61" s="150" t="str">
        <f>IFERROR(IF(AND(teacher_type="R",career_stage="P"),VLOOKUP($O61,RPI[[Strand]:[Domain]],COLUMNS(RPI[[Strand]:[Domain]]),FALSE),IF(AND(teacher_type="R",career_stage="HP"),VLOOKUP($O61,RHPI[[Strand]:[Domain]],COLUMNS(RHPI[[Strand]:[Domain]]),FALSE),IF(AND(teacher_type="TB",career_stage="P"),VLOOKUP($O61,TBPI[[Strand]:[Domain]],COLUMNS(TBPI[[Strand]:[Domain]]),FALSE),IF(AND(teacher_type="TB",career_stage="HP"),VLOOKUP($O61,TBHPI[[Strand]:[Domain]],COLUMNS(TBHPI[[Strand]:[Domain]]),FALSE),"")))),"")</f>
        <v/>
      </c>
      <c r="F61" s="155" t="b">
        <f>AND(COUNTIFS($E$22:$E61,E61,$G$22:$G61,TRUE)=1,$G61)</f>
        <v>0</v>
      </c>
      <c r="G61" s="212" t="b">
        <f>IFERROR(IF(AND(teacher_type="R",career_stage="P"),VLOOKUP($O61,RPI[],COLUMNS(RPI[[Strand]:[Selected]]),FALSE),IF(AND(teacher_type="R",career_stage="HP"),VLOOKUP($O61,RHPI[],COLUMNS(RHPI[[Strand]:[Selected]]),FALSE),IF(AND(teacher_type="TB",career_stage="P"),VLOOKUP($O61,TBPI[],COLUMNS(TBPI[[Strand]:[Selected]]),FALSE),IF(AND(teacher_type="TB",career_stage="HP"),VLOOKUP($O61,TBHPI[],COLUMNS(TBHPI[[Strand]:[Selected]]),FALSE),FALSE)))),FALSE)</f>
        <v>0</v>
      </c>
      <c r="H61" s="156" t="b">
        <f>IFERROR(IF(AND(teacher_type="R",career_stage="P"),AND(COUNTIFS(RPS[Strand],$O61,RPS[QET],H$21)&gt;0,$G61),IF(AND(teacher_type="R",career_stage="HP"),AND(COUNTIFS(RHPS[Strand],$O61,RHPS[QET],H$21)&gt;0,$G61),IF(AND(teacher_type="TB",career_stage="P"),AND(COUNTIFS(TBPS[Strand],$O61,TBPS[QET],H$21)&gt;0,$G61),IF(AND(teacher_type="TB",career_stage="HP"),AND(COUNTIFS(TBHPS[Strand],$O61,TBHPS[QET],H$21)&gt;0,$G61),FALSE)))),FALSE)</f>
        <v>0</v>
      </c>
      <c r="I61" s="156" t="b">
        <f t="shared" si="11"/>
        <v>0</v>
      </c>
      <c r="J61" s="156" t="b">
        <f>IFERROR(IF(AND(teacher_type="R",career_stage="P"),AND(COUNTIFS(RPS[Strand],$O61,RPS[QET],J$21)&gt;0,$G61),IF(AND(teacher_type="R",career_stage="HP"),AND(COUNTIFS(RHPS[Strand],$O61,RHPS[QET],J$21)&gt;0,$G61),IF(AND(teacher_type="TB",career_stage="P"),AND(COUNTIFS(TBPS[Strand],$O61,TBPS[QET],J$21)&gt;0,$G61),IF(AND(teacher_type="TB",career_stage="HP"),AND(COUNTIFS(TBHPS[Strand],$O61,TBHPS[QET],J$21)&gt;0,$G61),FALSE)))),FALSE)</f>
        <v>0</v>
      </c>
      <c r="K61" s="156" t="b">
        <f>IFERROR(IF(AND(teacher_type="R",career_stage="P"),AND(COUNTIFS(RPS[Strand],$O61,RPS[QET],K$21)&gt;0,$G61),IF(AND(teacher_type="R",career_stage="HP"),AND(COUNTIFS(RHPS[Strand],$O61,RHPS[QET],K$21)&gt;0,$G61),IF(AND(teacher_type="TB",career_stage="P"),AND(COUNTIFS(TBPS[Strand],$O61,TBPS[QET],K$21)&gt;0,$G61),IF(AND(teacher_type="TB",career_stage="HP"),AND(COUNTIFS(TBHPS[Strand],$O61,TBHPS[QET],K$21)&gt;0,$G61),FALSE)))),FALSE)</f>
        <v>0</v>
      </c>
      <c r="L61" s="156" t="b">
        <f t="shared" si="12"/>
        <v>0</v>
      </c>
      <c r="M61" s="165" t="str">
        <f t="shared" si="13"/>
        <v/>
      </c>
      <c r="N61" s="48" t="str">
        <f>IF($G61,COUNTIF($G$22:$G61,TRUE),"")</f>
        <v/>
      </c>
      <c r="O61" s="48" t="str" cm="1">
        <f t="array" ref="O61">IFERROR(IF(AND(teacher_type="R",career_stage="P"),INDEX(RPI[Strand],$B61),IF(AND(teacher_type="R",career_stage="HP"),INDEX(RHPI[Strand],$B61),IF(AND(teacher_type="TB",career_stage="P"),INDEX(TBPI[Strand],$B61),IF(AND(teacher_type="TB",career_stage="HP"),INDEX(TBHPI[Strand],$B61),"")))),"")</f>
        <v/>
      </c>
      <c r="P61" s="467" t="str">
        <f>$C$61</f>
        <v>NCOI</v>
      </c>
      <c r="Q61" s="173">
        <f>IFERROR(IF(AND(teacher_type="R",career_stage="P"),VLOOKUP(O61,RPI[],COLUMNS(RPI[[Strand]:[Weight]]),FALSE), IF(AND(teacher_type="R",career_stage="HP"),VLOOKUP(O61,RHPI[],COLUMNS(RHPI[[Strand]:[Weight]]),FALSE), IF(AND(teacher_type="TB",career_stage="P"),VLOOKUP(O61,TBPI[],COLUMNS(TBPI[[Strand]:[Weight]]),FALSE), IF(AND(teacher_type="TB",career_stage="HP"),VLOOKUP(O61,TBHPI[],COLUMNS(TBHPI[[Strand]:[Weight]]),FALSE),0)))),0)</f>
        <v>0</v>
      </c>
      <c r="R61" s="183"/>
      <c r="S61" s="484"/>
      <c r="T61" s="175" t="str">
        <f>IFERROR(IF(LOWER(TRIM(S$20))=LOWER(TRIM(data2!$U$35)),"",IF(AND($G61,$D61="COI",S$12,CZ61),IF(OR(LOWER(TRIM(S$20))=LOWER(TRIM(data2!$U$36)),ISBLANK(S61)),1,IF(career_stage="P",VLOOKUP(S61,P_COT_vlookup,2,FALSE),IF(career_stage="HP",VLOOKUP(S61,HP_COT_vlookup,2,FALSE),""))),"")),"")</f>
        <v/>
      </c>
      <c r="U61" s="484"/>
      <c r="V61" s="175" t="str">
        <f>IFERROR(IF(LOWER(TRIM(U$20))=LOWER(TRIM(data2!$U$35)),"",IF(AND($G61,$D61="COI",U$12,DB61),IF(OR(LOWER(TRIM(U$20))=LOWER(TRIM(data2!$U$36)),ISBLANK(U61)),1,IF(career_stage="P",VLOOKUP(U61,P_COT_vlookup,2,FALSE),IF(career_stage="HP",VLOOKUP(U61,HP_COT_vlookup,2,FALSE),""))),"")),"")</f>
        <v/>
      </c>
      <c r="W61" s="484"/>
      <c r="X61" s="175" t="str">
        <f>IFERROR(IF(LOWER(TRIM(W$20))=LOWER(TRIM(data2!$U$35)),"",IF(AND($G61,$D61="COI",W$12,DD61),IF(OR(LOWER(TRIM(W$20))=LOWER(TRIM(data2!$U$36)),ISBLANK(W61)),1,IF(career_stage="P",VLOOKUP(W61,P_COT_vlookup,2,FALSE),IF(career_stage="HP",VLOOKUP(W61,HP_COT_vlookup,2,FALSE),""))),"")),"")</f>
        <v/>
      </c>
      <c r="Y61" s="484"/>
      <c r="Z61" s="175" t="str">
        <f>IFERROR(IF(LOWER(TRIM(Y$20))=LOWER(TRIM(data2!$U$35)),"",IF(AND($G61,$D61="COI",Y$12,DF61),IF(OR(LOWER(TRIM(Y$20))=LOWER(TRIM(data2!$U$36)),ISBLANK(Y61)),1,IF(career_stage="P",VLOOKUP(Y61,P_COT_vlookup,2,FALSE),IF(career_stage="HP",VLOOKUP(Y61,HP_COT_vlookup,2,FALSE),""))),"")),"")</f>
        <v/>
      </c>
      <c r="AA61" s="171">
        <f t="shared" si="14"/>
        <v>0</v>
      </c>
      <c r="AB61" s="471"/>
      <c r="AC61" s="473"/>
      <c r="AD61" s="473"/>
      <c r="AE61" s="49">
        <f t="shared" si="2"/>
        <v>0</v>
      </c>
      <c r="AF61" s="184">
        <f t="shared" si="3"/>
        <v>0</v>
      </c>
      <c r="AG61" s="172" t="str">
        <f t="shared" si="4"/>
        <v>Poor</v>
      </c>
      <c r="AI61" s="196" t="b">
        <f t="shared" si="5"/>
        <v>1</v>
      </c>
      <c r="AJ61" s="154" t="b">
        <v>1</v>
      </c>
      <c r="AK61" s="154" t="b">
        <v>1</v>
      </c>
      <c r="AL61" s="196" t="b">
        <f t="shared" si="15"/>
        <v>1</v>
      </c>
      <c r="AM61" s="154" t="b">
        <v>1</v>
      </c>
      <c r="AN61" s="196" t="b">
        <f t="shared" si="15"/>
        <v>1</v>
      </c>
      <c r="AO61" s="154" t="b">
        <v>1</v>
      </c>
      <c r="AP61" s="196" t="b">
        <f t="shared" si="15"/>
        <v>1</v>
      </c>
      <c r="AQ61" s="154" t="b">
        <v>1</v>
      </c>
      <c r="AR61" s="196" t="b">
        <f t="shared" si="15"/>
        <v>1</v>
      </c>
      <c r="AS61" s="154" t="b">
        <v>1</v>
      </c>
      <c r="AT61" s="154" t="b">
        <v>1</v>
      </c>
      <c r="AU61" s="196" t="b">
        <f t="shared" si="6"/>
        <v>1</v>
      </c>
      <c r="AV61" s="196" t="b">
        <f t="shared" si="7"/>
        <v>1</v>
      </c>
      <c r="AW61" s="196" t="b">
        <f t="shared" si="8"/>
        <v>1</v>
      </c>
      <c r="AX61" s="47" t="b">
        <v>1</v>
      </c>
      <c r="AY61" s="47" t="b">
        <v>1</v>
      </c>
      <c r="AZ61" s="47" t="b">
        <v>1</v>
      </c>
      <c r="BF61" s="154" t="str">
        <f t="shared" si="9"/>
        <v/>
      </c>
      <c r="BG61" s="196" t="b" cm="1">
        <f t="array" ref="BG61">IFERROR(IF(OR(LOWER(TRIM(S$20))=LOWER(TRIM(data2!$U$35)),LOWER(TRIM(S$20))=LOWER(TRIM(data2!$U$36))),FALSE,AND(S$12,IF(AND($G61,$D61="COI"),
IF(AND(teacher_type="R",career_stage="P"),VLOOKUP($BF61,RPI[],COLUMN(RPI[cot1]),FALSE),
IF(AND(teacher_type="R",career_stage="HP"),VLOOKUP($BF61,RHPI[],COLUMN(RHPI[cot1]),FALSE),
IF(AND(teacher_type="TB",career_stage="P"),VLOOKUP($BF61,TBPI[],COLUMN(TBPI[cot1]),FALSE),
IF(AND(teacher_type="TB",career_stage="HP"),VLOOKUP($BF61,TBHPI[],COLUMN(TBHPI[cot1]),FALSE),FALSE)))),
FALSE))),FALSE)</f>
        <v>0</v>
      </c>
      <c r="BH61" s="154" t="b">
        <v>0</v>
      </c>
      <c r="BI61" s="196" t="b" cm="1">
        <f t="array" ref="BI61">IFERROR(IF(OR(LOWER(TRIM(U$20))=LOWER(TRIM(data2!$U$35)),LOWER(TRIM(U$20))=LOWER(TRIM(data2!$U$36))),FALSE,AND(U$12,IF(AND($G61,$D61="COI"),
IF(AND(teacher_type="R",career_stage="P"),VLOOKUP($BF61,RPI[],COLUMN(RPI[cot2]),FALSE),
IF(AND(teacher_type="R",career_stage="HP"),VLOOKUP($BF61,RHPI[],COLUMN(RHPI[cot2]),FALSE),
IF(AND(teacher_type="TB",career_stage="P"),VLOOKUP($BF61,TBPI[],COLUMN(TBPI[cot2]),FALSE),
IF(AND(teacher_type="TB",career_stage="HP"),VLOOKUP($BF61,TBHPI[],COLUMN(TBHPI[cot2]),FALSE),FALSE)))),
FALSE))),FALSE)</f>
        <v>0</v>
      </c>
      <c r="BJ61" s="154" t="b">
        <v>0</v>
      </c>
      <c r="BK61" s="196" t="b" cm="1">
        <f t="array" ref="BK61">IFERROR(IF(OR(LOWER(TRIM(W$20))=LOWER(TRIM(data2!$U$35)),LOWER(TRIM(W$20))=LOWER(TRIM(data2!$U$36))),FALSE,AND(W$12,IF(AND($G61,$D61="COI"),
IF(AND(teacher_type="R",career_stage="P"),VLOOKUP($BF61,RPI[],COLUMN(RPI[cot3]),FALSE),
IF(AND(teacher_type="R",career_stage="HP"),VLOOKUP($BF61,RHPI[],COLUMN(RHPI[cot3]),FALSE),
IF(AND(teacher_type="TB",career_stage="P"),VLOOKUP($BF61,TBPI[],COLUMN(TBPI[cot3]),FALSE),
IF(AND(teacher_type="TB",career_stage="HP"),VLOOKUP($BF61,TBHPI[],COLUMN(TBHPI[cot3]),FALSE),FALSE)))),
FALSE))),FALSE)</f>
        <v>0</v>
      </c>
      <c r="BL61" s="154" t="b">
        <v>0</v>
      </c>
      <c r="BM61" s="196" t="b" cm="1">
        <f t="array" ref="BM61">IFERROR(IF(OR(LOWER(TRIM(Y$20))=LOWER(TRIM(data2!$U$35)),LOWER(TRIM(Y$20))=LOWER(TRIM(data2!$U$36))),FALSE,AND(Y$12,IF(AND($G61,$D61="COI"),
IF(AND(teacher_type="R",career_stage="P"),VLOOKUP($BF61,RPI[],COLUMN(RPI[cot4]),FALSE),
IF(AND(teacher_type="R",career_stage="HP"),VLOOKUP($BF61,RHPI[],COLUMN(RHPI[cot4]),FALSE),
IF(AND(teacher_type="TB",career_stage="P"),VLOOKUP($BF61,TBPI[],COLUMN(TBPI[cot4]),FALSE),
IF(AND(teacher_type="TB",career_stage="HP"),VLOOKUP($BF61,TBHPI[],COLUMN(TBHPI[cot4]),FALSE),FALSE)))),
FALSE))),FALSE)</f>
        <v>0</v>
      </c>
      <c r="BN61" s="154" t="b">
        <v>0</v>
      </c>
      <c r="BO61" s="150">
        <f t="shared" si="16"/>
        <v>0</v>
      </c>
      <c r="BP61" s="196" t="b">
        <f t="shared" si="17"/>
        <v>0</v>
      </c>
      <c r="BQ61" s="196" t="b">
        <f>IFERROR(IF(OR(NOT(CZ61),LOWER(TRIM(S$20))=LOWER(TRIM(data2!$U$35))),TRUE,IF(AND(CZ61,LOWER(TRIM(S$20))=LOWER(TRIM(data2!$U$36))),FALSE)),FALSE)</f>
        <v>1</v>
      </c>
      <c r="BR61" s="196" t="b">
        <f t="shared" si="18"/>
        <v>0</v>
      </c>
      <c r="BS61" s="196" t="b">
        <f>IFERROR(IF(OR(NOT(DB61),LOWER(TRIM(U$20))=LOWER(TRIM(data2!$U$35))),TRUE,IF(AND(DB61,LOWER(TRIM(U$20))=LOWER(TRIM(data2!$U$36))),FALSE)),FALSE)</f>
        <v>1</v>
      </c>
      <c r="BT61" s="196" t="b">
        <f t="shared" si="19"/>
        <v>0</v>
      </c>
      <c r="BU61" s="196" t="b">
        <f>IFERROR(IF(OR(NOT(DD61),LOWER(TRIM(W$20))=LOWER(TRIM(data2!$U$35))),TRUE,IF(AND(DD61,LOWER(TRIM(W$20))=LOWER(TRIM(data2!$U$36))),FALSE)),FALSE)</f>
        <v>1</v>
      </c>
      <c r="BV61" s="196" t="b">
        <f t="shared" si="20"/>
        <v>0</v>
      </c>
      <c r="BW61" s="196" t="b">
        <f>IFERROR(IF(OR(NOT(DF61),LOWER(TRIM(Y$20))=LOWER(TRIM(data2!$U$35))),TRUE,IF(AND(DF61,LOWER(TRIM(Y$20))=LOWER(TRIM(data2!$U$36))),FALSE)),FALSE)</f>
        <v>1</v>
      </c>
      <c r="BY61" s="154" t="str">
        <f t="shared" si="21"/>
        <v/>
      </c>
      <c r="BZ61" s="154" t="str">
        <f t="shared" si="22"/>
        <v/>
      </c>
      <c r="CA61" s="154" t="str">
        <f t="shared" si="23"/>
        <v/>
      </c>
      <c r="CB61" s="154" t="str">
        <f t="shared" si="24"/>
        <v>CE61:CI61</v>
      </c>
      <c r="CC61" s="154" t="str">
        <f t="shared" si="25"/>
        <v>CK61:CO61</v>
      </c>
      <c r="CD61" s="154" t="str">
        <f t="shared" si="26"/>
        <v>CQ61:CU61</v>
      </c>
      <c r="CE61" s="359" cm="1">
        <f t="array" ref="CE61">IFERROR(IF($BY61&lt;&gt;"",
IF(AND(teacher_type="R",career_stage="P"),
    IF(INDEX(RPS[[Outstanding]:[Poor]],MATCH($BY61,RPS[[helper]:[helper]],0),CE$19)&lt;&gt;"",CE$20,""),
IF(AND(teacher_type="R",career_stage="HP"),
    IF(INDEX(RHPS[[Outstanding]:[Poor]],MATCH($BY61,RHPS[[helper]:[helper]],0),CE$19)&lt;&gt;"",CE$20,""),
IF(AND(teacher_type="TB",career_stage="P"),
    IF(INDEX(TBPS[[Outstanding]:[Poor]],MATCH($BY61,TBPS[[helper]:[helper]],0),CE$19)&lt;&gt;"",CE$20,""),
IF(AND(teacher_type="TB",career_stage="HP"),
    IF(INDEX(TBHPS[[Outstanding]:[Poor]],MATCH($BY61,TBHPS[[helper]:[helper]],0),CE$19)&lt;&gt;"",CE$20,""),
CE$20)))),
CE$20),CE$20)</f>
        <v>5</v>
      </c>
      <c r="CF61" s="359" cm="1">
        <f t="array" ref="CF61">IFERROR(IF($BY61&lt;&gt;"",
IF(AND(teacher_type="R",career_stage="P"),
    IF(INDEX(RPS[[Outstanding]:[Poor]],MATCH($BY61,RPS[[helper]:[helper]],0),CF$19)&lt;&gt;"",CF$20,""),
IF(AND(teacher_type="R",career_stage="HP"),
    IF(INDEX(RHPS[[Outstanding]:[Poor]],MATCH($BY61,RHPS[[helper]:[helper]],0),CF$19)&lt;&gt;"",CF$20,""),
IF(AND(teacher_type="TB",career_stage="P"),
    IF(INDEX(TBPS[[Outstanding]:[Poor]],MATCH($BY61,TBPS[[helper]:[helper]],0),CF$19)&lt;&gt;"",CF$20,""),
IF(AND(teacher_type="TB",career_stage="HP"),
    IF(INDEX(TBHPS[[Outstanding]:[Poor]],MATCH($BY61,TBHPS[[helper]:[helper]],0),CF$19)&lt;&gt;"",CF$20,""),
CF$20)))),
CF$20),CF$20)</f>
        <v>4</v>
      </c>
      <c r="CG61" s="359" cm="1">
        <f t="array" ref="CG61">IFERROR(IF($BY61&lt;&gt;"",
IF(AND(teacher_type="R",career_stage="P"),
    IF(INDEX(RPS[[Outstanding]:[Poor]],MATCH($BY61,RPS[[helper]:[helper]],0),CG$19)&lt;&gt;"",CG$20,""),
IF(AND(teacher_type="R",career_stage="HP"),
    IF(INDEX(RHPS[[Outstanding]:[Poor]],MATCH($BY61,RHPS[[helper]:[helper]],0),CG$19)&lt;&gt;"",CG$20,""),
IF(AND(teacher_type="TB",career_stage="P"),
    IF(INDEX(TBPS[[Outstanding]:[Poor]],MATCH($BY61,TBPS[[helper]:[helper]],0),CG$19)&lt;&gt;"",CG$20,""),
IF(AND(teacher_type="TB",career_stage="HP"),
    IF(INDEX(TBHPS[[Outstanding]:[Poor]],MATCH($BY61,TBHPS[[helper]:[helper]],0),CG$19)&lt;&gt;"",CG$20,""),
CG$20)))),
CG$20),CG$20)</f>
        <v>3</v>
      </c>
      <c r="CH61" s="359" cm="1">
        <f t="array" ref="CH61">IFERROR(IF($BY61&lt;&gt;"",
IF(AND(teacher_type="R",career_stage="P"),
    IF(INDEX(RPS[[Outstanding]:[Poor]],MATCH($BY61,RPS[[helper]:[helper]],0),CH$19)&lt;&gt;"",CH$20,""),
IF(AND(teacher_type="R",career_stage="HP"),
    IF(INDEX(RHPS[[Outstanding]:[Poor]],MATCH($BY61,RHPS[[helper]:[helper]],0),CH$19)&lt;&gt;"",CH$20,""),
IF(AND(teacher_type="TB",career_stage="P"),
    IF(INDEX(TBPS[[Outstanding]:[Poor]],MATCH($BY61,TBPS[[helper]:[helper]],0),CH$19)&lt;&gt;"",CH$20,""),
IF(AND(teacher_type="TB",career_stage="HP"),
    IF(INDEX(TBHPS[[Outstanding]:[Poor]],MATCH($BY61,TBHPS[[helper]:[helper]],0),CH$19)&lt;&gt;"",CH$20,""),
CH$20)))),
CH$20),CH$20)</f>
        <v>2</v>
      </c>
      <c r="CI61" s="359" cm="1">
        <f t="array" ref="CI61">IFERROR(IF($BY61&lt;&gt;"",
IF(AND(teacher_type="R",career_stage="P"),
    IF(INDEX(RPS[[Outstanding]:[Poor]],MATCH($BY61,RPS[[helper]:[helper]],0),CI$19)&lt;&gt;"",CI$20,""),
IF(AND(teacher_type="R",career_stage="HP"),
    IF(INDEX(RHPS[[Outstanding]:[Poor]],MATCH($BY61,RHPS[[helper]:[helper]],0),CI$19)&lt;&gt;"",CI$20,""),
IF(AND(teacher_type="TB",career_stage="P"),
    IF(INDEX(TBPS[[Outstanding]:[Poor]],MATCH($BY61,TBPS[[helper]:[helper]],0),CI$19)&lt;&gt;"",CI$20,""),
IF(AND(teacher_type="TB",career_stage="HP"),
    IF(INDEX(TBHPS[[Outstanding]:[Poor]],MATCH($BY61,TBHPS[[helper]:[helper]],0),CI$19)&lt;&gt;"",CI$20,""),
CI$20)))),
CI$20),CI$20)</f>
        <v>1</v>
      </c>
      <c r="CJ61" s="360">
        <f t="shared" si="27"/>
        <v>5</v>
      </c>
      <c r="CK61" s="359" cm="1">
        <f t="array" ref="CK61">IFERROR(IF($BZ61&lt;&gt;"",
IF(AND(teacher_type="R",career_stage="P"),
    IF(INDEX(RPS[[Outstanding]:[Poor]],MATCH($BZ61,RPS[[helper]:[helper]],0),CK$19)&lt;&gt;"",CK$20,""),
IF(AND(teacher_type="R",career_stage="HP"),
    IF(INDEX(RHPS[[Outstanding]:[Poor]],MATCH($BZ61,RHPS[[helper]:[helper]],0),CK$19)&lt;&gt;"",CK$20,""),
IF(AND(teacher_type="TB",career_stage="P"),
    IF(INDEX(TBPS[[Outstanding]:[Poor]],MATCH($BZ61,TBPS[[helper]:[helper]],0),CK$19)&lt;&gt;"",CK$20,""),
IF(AND(teacher_type="TB",career_stage="HP"),
    IF(INDEX(TBHPS[[Outstanding]:[Poor]],MATCH($BZ61,TBHPS[[helper]:[helper]],0),CK$19)&lt;&gt;"",CK$20,""),
CK$20)))),
CK$20),CK$20)</f>
        <v>5</v>
      </c>
      <c r="CL61" s="359" cm="1">
        <f t="array" ref="CL61">IFERROR(IF($BZ61&lt;&gt;"",
IF(AND(teacher_type="R",career_stage="P"),
    IF(INDEX(RPS[[Outstanding]:[Poor]],MATCH($BZ61,RPS[[helper]:[helper]],0),CL$19)&lt;&gt;"",CL$20,""),
IF(AND(teacher_type="R",career_stage="HP"),
    IF(INDEX(RHPS[[Outstanding]:[Poor]],MATCH($BZ61,RHPS[[helper]:[helper]],0),CL$19)&lt;&gt;"",CL$20,""),
IF(AND(teacher_type="TB",career_stage="P"),
    IF(INDEX(TBPS[[Outstanding]:[Poor]],MATCH($BZ61,TBPS[[helper]:[helper]],0),CL$19)&lt;&gt;"",CL$20,""),
IF(AND(teacher_type="TB",career_stage="HP"),
    IF(INDEX(TBHPS[[Outstanding]:[Poor]],MATCH($BZ61,TBHPS[[helper]:[helper]],0),CL$19)&lt;&gt;"",CL$20,""),
CL$20)))),
CL$20),CL$20)</f>
        <v>4</v>
      </c>
      <c r="CM61" s="359" cm="1">
        <f t="array" ref="CM61">IFERROR(IF($BZ61&lt;&gt;"",
IF(AND(teacher_type="R",career_stage="P"),
    IF(INDEX(RPS[[Outstanding]:[Poor]],MATCH($BZ61,RPS[[helper]:[helper]],0),CM$19)&lt;&gt;"",CM$20,""),
IF(AND(teacher_type="R",career_stage="HP"),
    IF(INDEX(RHPS[[Outstanding]:[Poor]],MATCH($BZ61,RHPS[[helper]:[helper]],0),CM$19)&lt;&gt;"",CM$20,""),
IF(AND(teacher_type="TB",career_stage="P"),
    IF(INDEX(TBPS[[Outstanding]:[Poor]],MATCH($BZ61,TBPS[[helper]:[helper]],0),CM$19)&lt;&gt;"",CM$20,""),
IF(AND(teacher_type="TB",career_stage="HP"),
    IF(INDEX(TBHPS[[Outstanding]:[Poor]],MATCH($BZ61,TBHPS[[helper]:[helper]],0),CM$19)&lt;&gt;"",CM$20,""),
CM$20)))),
CM$20),CM$20)</f>
        <v>3</v>
      </c>
      <c r="CN61" s="359" cm="1">
        <f t="array" ref="CN61">IFERROR(IF($BZ61&lt;&gt;"",
IF(AND(teacher_type="R",career_stage="P"),
    IF(INDEX(RPS[[Outstanding]:[Poor]],MATCH($BZ61,RPS[[helper]:[helper]],0),CN$19)&lt;&gt;"",CN$20,""),
IF(AND(teacher_type="R",career_stage="HP"),
    IF(INDEX(RHPS[[Outstanding]:[Poor]],MATCH($BZ61,RHPS[[helper]:[helper]],0),CN$19)&lt;&gt;"",CN$20,""),
IF(AND(teacher_type="TB",career_stage="P"),
    IF(INDEX(TBPS[[Outstanding]:[Poor]],MATCH($BZ61,TBPS[[helper]:[helper]],0),CN$19)&lt;&gt;"",CN$20,""),
IF(AND(teacher_type="TB",career_stage="HP"),
    IF(INDEX(TBHPS[[Outstanding]:[Poor]],MATCH($BZ61,TBHPS[[helper]:[helper]],0),CN$19)&lt;&gt;"",CN$20,""),
CN$20)))),
CN$20),CN$20)</f>
        <v>2</v>
      </c>
      <c r="CO61" s="359" cm="1">
        <f t="array" ref="CO61">IFERROR(IF($BZ61&lt;&gt;"",
IF(AND(teacher_type="R",career_stage="P"),
    IF(INDEX(RPS[[Outstanding]:[Poor]],MATCH($BZ61,RPS[[helper]:[helper]],0),CO$19)&lt;&gt;"",CO$20,""),
IF(AND(teacher_type="R",career_stage="HP"),
    IF(INDEX(RHPS[[Outstanding]:[Poor]],MATCH($BZ61,RHPS[[helper]:[helper]],0),CO$19)&lt;&gt;"",CO$20,""),
IF(AND(teacher_type="TB",career_stage="P"),
    IF(INDEX(TBPS[[Outstanding]:[Poor]],MATCH($BZ61,TBPS[[helper]:[helper]],0),CO$19)&lt;&gt;"",CO$20,""),
IF(AND(teacher_type="TB",career_stage="HP"),
    IF(INDEX(TBHPS[[Outstanding]:[Poor]],MATCH($BZ61,TBHPS[[helper]:[helper]],0),CO$19)&lt;&gt;"",CO$20,""),
CO$20)))),
CO$20),CO$20)</f>
        <v>1</v>
      </c>
      <c r="CP61" s="360">
        <f t="shared" si="28"/>
        <v>5</v>
      </c>
      <c r="CQ61" s="359" cm="1">
        <f t="array" ref="CQ61">IFERROR(IF($CA61&lt;&gt;"",
IF(AND(teacher_type="R",career_stage="P"),
    IF(INDEX(RPS[[Outstanding]:[Poor]],MATCH($CA61,RPS[[helper]:[helper]],0),CQ$19)&lt;&gt;"",CQ$20,""),
IF(AND(teacher_type="R",career_stage="HP"),
    IF(INDEX(RHPS[[Outstanding]:[Poor]],MATCH($CA61,RHPS[[helper]:[helper]],0),CQ$19)&lt;&gt;"",CQ$20,""),
IF(AND(teacher_type="TB",career_stage="P"),
    IF(INDEX(TBPS[[Outstanding]:[Poor]],MATCH($CA61,TBPS[[helper]:[helper]],0),CQ$19)&lt;&gt;"",CQ$20,""),
IF(AND(teacher_type="TB",career_stage="HP"),
    IF(INDEX(TBHPS[[Outstanding]:[Poor]],MATCH($CA61,TBHPS[[helper]:[helper]],0),CQ$19)&lt;&gt;"",CQ$20,""),
CQ$20)))),
CQ$20),CQ$20)</f>
        <v>5</v>
      </c>
      <c r="CR61" s="359" cm="1">
        <f t="array" ref="CR61">IFERROR(IF($CA61&lt;&gt;"",
IF(AND(teacher_type="R",career_stage="P"),
    IF(INDEX(RPS[[Outstanding]:[Poor]],MATCH($CA61,RPS[[helper]:[helper]],0),CR$19)&lt;&gt;"",CR$20,""),
IF(AND(teacher_type="R",career_stage="HP"),
    IF(INDEX(RHPS[[Outstanding]:[Poor]],MATCH($CA61,RHPS[[helper]:[helper]],0),CR$19)&lt;&gt;"",CR$20,""),
IF(AND(teacher_type="TB",career_stage="P"),
    IF(INDEX(TBPS[[Outstanding]:[Poor]],MATCH($CA61,TBPS[[helper]:[helper]],0),CR$19)&lt;&gt;"",CR$20,""),
IF(AND(teacher_type="TB",career_stage="HP"),
    IF(INDEX(TBHPS[[Outstanding]:[Poor]],MATCH($CA61,TBHPS[[helper]:[helper]],0),CR$19)&lt;&gt;"",CR$20,""),
CR$20)))),
CR$20),CR$20)</f>
        <v>4</v>
      </c>
      <c r="CS61" s="359" cm="1">
        <f t="array" ref="CS61">IFERROR(IF($CA61&lt;&gt;"",
IF(AND(teacher_type="R",career_stage="P"),
    IF(INDEX(RPS[[Outstanding]:[Poor]],MATCH($CA61,RPS[[helper]:[helper]],0),CS$19)&lt;&gt;"",CS$20,""),
IF(AND(teacher_type="R",career_stage="HP"),
    IF(INDEX(RHPS[[Outstanding]:[Poor]],MATCH($CA61,RHPS[[helper]:[helper]],0),CS$19)&lt;&gt;"",CS$20,""),
IF(AND(teacher_type="TB",career_stage="P"),
    IF(INDEX(TBPS[[Outstanding]:[Poor]],MATCH($CA61,TBPS[[helper]:[helper]],0),CS$19)&lt;&gt;"",CS$20,""),
IF(AND(teacher_type="TB",career_stage="HP"),
    IF(INDEX(TBHPS[[Outstanding]:[Poor]],MATCH($CA61,TBHPS[[helper]:[helper]],0),CS$19)&lt;&gt;"",CS$20,""),
CS$20)))),
CS$20),CS$20)</f>
        <v>3</v>
      </c>
      <c r="CT61" s="359" cm="1">
        <f t="array" ref="CT61">IFERROR(IF($CA61&lt;&gt;"",
IF(AND(teacher_type="R",career_stage="P"),
    IF(INDEX(RPS[[Outstanding]:[Poor]],MATCH($CA61,RPS[[helper]:[helper]],0),CT$19)&lt;&gt;"",CT$20,""),
IF(AND(teacher_type="R",career_stage="HP"),
    IF(INDEX(RHPS[[Outstanding]:[Poor]],MATCH($CA61,RHPS[[helper]:[helper]],0),CT$19)&lt;&gt;"",CT$20,""),
IF(AND(teacher_type="TB",career_stage="P"),
    IF(INDEX(TBPS[[Outstanding]:[Poor]],MATCH($CA61,TBPS[[helper]:[helper]],0),CT$19)&lt;&gt;"",CT$20,""),
IF(AND(teacher_type="TB",career_stage="HP"),
    IF(INDEX(TBHPS[[Outstanding]:[Poor]],MATCH($CA61,TBHPS[[helper]:[helper]],0),CT$19)&lt;&gt;"",CT$20,""),
CT$20)))),
CT$20),CT$20)</f>
        <v>2</v>
      </c>
      <c r="CU61" s="359" cm="1">
        <f t="array" ref="CU61">IFERROR(IF($CA61&lt;&gt;"",
IF(AND(teacher_type="R",career_stage="P"),
    IF(INDEX(RPS[[Outstanding]:[Poor]],MATCH($CA61,RPS[[helper]:[helper]],0),CU$19)&lt;&gt;"",CU$20,""),
IF(AND(teacher_type="R",career_stage="HP"),
    IF(INDEX(RHPS[[Outstanding]:[Poor]],MATCH($CA61,RHPS[[helper]:[helper]],0),CU$19)&lt;&gt;"",CU$20,""),
IF(AND(teacher_type="TB",career_stage="P"),
    IF(INDEX(TBPS[[Outstanding]:[Poor]],MATCH($CA61,TBPS[[helper]:[helper]],0),CU$19)&lt;&gt;"",CU$20,""),
IF(AND(teacher_type="TB",career_stage="HP"),
    IF(INDEX(TBHPS[[Outstanding]:[Poor]],MATCH($CA61,TBHPS[[helper]:[helper]],0),CU$19)&lt;&gt;"",CU$20,""),
CU$20)))),
CU$20),CU$20)</f>
        <v>1</v>
      </c>
      <c r="CV61" s="360">
        <f t="shared" si="29"/>
        <v>5</v>
      </c>
      <c r="CY61" s="443" t="b" cm="1">
        <f t="array" ref="CY61">IFERROR(AND(S$12,IF(AND($G61,$D61="COI"),
IF(AND(teacher_type="R",career_stage="P"),VLOOKUP($BF61,RPI[],COLUMN(RPI[cot1]),FALSE),
IF(AND(teacher_type="R",career_stage="HP"),VLOOKUP($BF61,RHPI[],COLUMN(RHPI[cot1]),FALSE),
IF(AND(teacher_type="TB",career_stage="P"),VLOOKUP($BF61,TBPI[],COLUMN(TBPI[cot1]),FALSE),
IF(AND(teacher_type="TB",career_stage="HP"),VLOOKUP($BF61,TBHPI[],COLUMN(TBHPI[cot1]),FALSE),FALSE)))),
FALSE)),FALSE)</f>
        <v>0</v>
      </c>
      <c r="CZ61" s="443" t="b">
        <f t="shared" si="30"/>
        <v>0</v>
      </c>
      <c r="DA61" s="443" t="b" cm="1">
        <f t="array" ref="DA61">IFERROR(AND(U$12,IF(AND($G61,$D61="COI"),
IF(AND(teacher_type="R",career_stage="P"),VLOOKUP($BF61,RPI[],COLUMN(RPI[cot2]),FALSE),
IF(AND(teacher_type="R",career_stage="HP"),VLOOKUP($BF61,RHPI[],COLUMN(RHPI[cot2]),FALSE),
IF(AND(teacher_type="TB",career_stage="P"),VLOOKUP($BF61,TBPI[],COLUMN(TBPI[cot2]),FALSE),
IF(AND(teacher_type="TB",career_stage="HP"),VLOOKUP($BF61,TBHPI[],COLUMN(TBHPI[cot2]),FALSE),FALSE)))),
FALSE)),FALSE)</f>
        <v>0</v>
      </c>
      <c r="DB61" s="443" t="b">
        <f t="shared" si="31"/>
        <v>0</v>
      </c>
      <c r="DC61" s="443" t="b" cm="1">
        <f t="array" ref="DC61">IFERROR(AND(W$12,IF(AND($G61,$D61="COI"),
IF(AND(teacher_type="R",career_stage="P"),VLOOKUP($BF61,RPI[],COLUMN(RPI[cot3]),FALSE),
IF(AND(teacher_type="R",career_stage="HP"),VLOOKUP($BF61,RHPI[],COLUMN(RHPI[cot3]),FALSE),
IF(AND(teacher_type="TB",career_stage="P"),VLOOKUP($BF61,TBPI[],COLUMN(TBPI[cot3]),FALSE),
IF(AND(teacher_type="TB",career_stage="HP"),VLOOKUP($BF61,TBHPI[],COLUMN(TBHPI[cot3]),FALSE),FALSE)))),
FALSE)),FALSE)</f>
        <v>0</v>
      </c>
      <c r="DD61" s="443" t="b">
        <f t="shared" si="32"/>
        <v>0</v>
      </c>
      <c r="DE61" s="443" t="b" cm="1">
        <f t="array" ref="DE61">IFERROR(AND(Y$12,IF(AND($G61,$D61="COI"),
IF(AND(teacher_type="R",career_stage="P"),VLOOKUP($BF61,RPI[],COLUMN(RPI[cot4]),FALSE),
IF(AND(teacher_type="R",career_stage="HP"),VLOOKUP($BF61,RHPI[],COLUMN(RHPI[cot4]),FALSE),
IF(AND(teacher_type="TB",career_stage="P"),VLOOKUP($BF61,TBPI[],COLUMN(TBPI[cot4]),FALSE),
IF(AND(teacher_type="TB",career_stage="HP"),VLOOKUP($BF61,TBHPI[],COLUMN(TBHPI[cot4]),FALSE),FALSE)))),
FALSE)),FALSE)</f>
        <v>0</v>
      </c>
      <c r="DF61" s="443" t="b">
        <f t="shared" si="33"/>
        <v>0</v>
      </c>
      <c r="DG61" s="150">
        <f t="shared" si="34"/>
        <v>0</v>
      </c>
      <c r="DH61" s="154">
        <f>IF(AND(CY61,LOWER(TRIM(S$20))=LOWER(TRIM(data2!$U$35))),1,0) +
IF(AND(DA61,LOWER(TRIM(U$20))=LOWER(TRIM(data2!$U$35))),1,0) +
IF(AND(DC61,LOWER(TRIM(W$20))=LOWER(TRIM(data2!$U$35))),1,0) +
IF(AND(DE61,LOWER(TRIM(Y$20))=LOWER(TRIM(data2!$U$35))),1,0)</f>
        <v>0</v>
      </c>
      <c r="DJ61" s="154">
        <f t="shared" si="35"/>
        <v>0</v>
      </c>
    </row>
    <row r="62" spans="1:114" s="154" customFormat="1" ht="24.95" hidden="1" customHeight="1" thickBot="1" x14ac:dyDescent="0.3">
      <c r="A62" s="156"/>
      <c r="B62" s="154">
        <v>41</v>
      </c>
      <c r="C62" s="150" t="str">
        <f>IFERROR(IF(AND(teacher_type="R",career_stage="P"),VLOOKUP(O62,RPI[],COLUMNS(RPI[[Strand]:[admin_selected_coi_ncoi]]),FALSE),IF(AND(teacher_type="R",career_stage="HP"),VLOOKUP(O62,RHPI[],COLUMNS(RHPI[[Strand]:[admin_selected_coi_ncoi]]),FALSE),IF(AND(teacher_type="TB",career_stage="P"),VLOOKUP(O62,TBPI[],COLUMNS(TBPI[[Strand]:[admin_selected_coi_ncoi]]),FALSE),IF(AND(teacher_type="TB",career_stage="HP"),VLOOKUP(O62,TBHPI[],COLUMNS(TBHPI[[Strand]:[admin_selected_coi_ncoi]]),FALSE),"NCOI")))),"NCOI")</f>
        <v>NCOI</v>
      </c>
      <c r="D62" s="150" t="str">
        <f t="shared" si="10"/>
        <v/>
      </c>
      <c r="E62" s="150" t="str">
        <f>IFERROR(IF(AND(teacher_type="R",career_stage="P"),VLOOKUP($O62,RPI[[Strand]:[Domain]],COLUMNS(RPI[[Strand]:[Domain]]),FALSE),IF(AND(teacher_type="R",career_stage="HP"),VLOOKUP($O62,RHPI[[Strand]:[Domain]],COLUMNS(RHPI[[Strand]:[Domain]]),FALSE),IF(AND(teacher_type="TB",career_stage="P"),VLOOKUP($O62,TBPI[[Strand]:[Domain]],COLUMNS(TBPI[[Strand]:[Domain]]),FALSE),IF(AND(teacher_type="TB",career_stage="HP"),VLOOKUP($O62,TBHPI[[Strand]:[Domain]],COLUMNS(TBHPI[[Strand]:[Domain]]),FALSE),"")))),"")</f>
        <v/>
      </c>
      <c r="F62" s="155" t="b">
        <f>AND(COUNTIFS($E$22:$E62,E62,$G$22:$G62,TRUE)=1,$G62)</f>
        <v>0</v>
      </c>
      <c r="G62" s="212" t="b">
        <f>IFERROR(IF(AND(teacher_type="R",career_stage="P"),VLOOKUP($O62,RPI[],COLUMNS(RPI[[Strand]:[Selected]]),FALSE),IF(AND(teacher_type="R",career_stage="HP"),VLOOKUP($O62,RHPI[],COLUMNS(RHPI[[Strand]:[Selected]]),FALSE),IF(AND(teacher_type="TB",career_stage="P"),VLOOKUP($O62,TBPI[],COLUMNS(TBPI[[Strand]:[Selected]]),FALSE),IF(AND(teacher_type="TB",career_stage="HP"),VLOOKUP($O62,TBHPI[],COLUMNS(TBHPI[[Strand]:[Selected]]),FALSE),FALSE)))),FALSE)</f>
        <v>0</v>
      </c>
      <c r="H62" s="156" t="b">
        <f>IFERROR(IF(AND(teacher_type="R",career_stage="P"),AND(COUNTIFS(RPS[Strand],$O62,RPS[QET],H$21)&gt;0,$G62),IF(AND(teacher_type="R",career_stage="HP"),AND(COUNTIFS(RHPS[Strand],$O62,RHPS[QET],H$21)&gt;0,$G62),IF(AND(teacher_type="TB",career_stage="P"),AND(COUNTIFS(TBPS[Strand],$O62,TBPS[QET],H$21)&gt;0,$G62),IF(AND(teacher_type="TB",career_stage="HP"),AND(COUNTIFS(TBHPS[Strand],$O62,TBHPS[QET],H$21)&gt;0,$G62),FALSE)))),FALSE)</f>
        <v>0</v>
      </c>
      <c r="I62" s="156" t="b">
        <f t="shared" si="11"/>
        <v>0</v>
      </c>
      <c r="J62" s="156" t="b">
        <f>IFERROR(IF(AND(teacher_type="R",career_stage="P"),AND(COUNTIFS(RPS[Strand],$O62,RPS[QET],J$21)&gt;0,$G62),IF(AND(teacher_type="R",career_stage="HP"),AND(COUNTIFS(RHPS[Strand],$O62,RHPS[QET],J$21)&gt;0,$G62),IF(AND(teacher_type="TB",career_stage="P"),AND(COUNTIFS(TBPS[Strand],$O62,TBPS[QET],J$21)&gt;0,$G62),IF(AND(teacher_type="TB",career_stage="HP"),AND(COUNTIFS(TBHPS[Strand],$O62,TBHPS[QET],J$21)&gt;0,$G62),FALSE)))),FALSE)</f>
        <v>0</v>
      </c>
      <c r="K62" s="156" t="b">
        <f>IFERROR(IF(AND(teacher_type="R",career_stage="P"),AND(COUNTIFS(RPS[Strand],$O62,RPS[QET],K$21)&gt;0,$G62),IF(AND(teacher_type="R",career_stage="HP"),AND(COUNTIFS(RHPS[Strand],$O62,RHPS[QET],K$21)&gt;0,$G62),IF(AND(teacher_type="TB",career_stage="P"),AND(COUNTIFS(TBPS[Strand],$O62,TBPS[QET],K$21)&gt;0,$G62),IF(AND(teacher_type="TB",career_stage="HP"),AND(COUNTIFS(TBHPS[Strand],$O62,TBHPS[QET],K$21)&gt;0,$G62),FALSE)))),FALSE)</f>
        <v>0</v>
      </c>
      <c r="L62" s="156" t="b">
        <f t="shared" si="12"/>
        <v>0</v>
      </c>
      <c r="M62" s="185" t="str">
        <f t="shared" si="13"/>
        <v/>
      </c>
      <c r="N62" s="358" t="str">
        <f>IF($G62,COUNTIF($G$22:$G62,TRUE),"")</f>
        <v/>
      </c>
      <c r="O62" s="186" t="str" cm="1">
        <f t="array" ref="O62">IFERROR(IF(AND(teacher_type="R",career_stage="P"),INDEX(RPI[Strand],$B62),IF(AND(teacher_type="R",career_stage="HP"),INDEX(RHPI[Strand],$B62),IF(AND(teacher_type="TB",career_stage="P"),INDEX(TBPI[Strand],$B62),IF(AND(teacher_type="TB",career_stage="HP"),INDEX(TBHPI[Strand],$B62),"")))),"")</f>
        <v/>
      </c>
      <c r="P62" s="468" t="str">
        <f>$C$62</f>
        <v>NCOI</v>
      </c>
      <c r="Q62" s="187">
        <f>IFERROR(IF(AND(teacher_type="R",career_stage="P"),VLOOKUP(O62,RPI[],COLUMNS(RPI[[Strand]:[Weight]]),FALSE), IF(AND(teacher_type="R",career_stage="HP"),VLOOKUP(O62,RHPI[],COLUMNS(RHPI[[Strand]:[Weight]]),FALSE), IF(AND(teacher_type="TB",career_stage="P"),VLOOKUP(O62,TBPI[],COLUMNS(TBPI[[Strand]:[Weight]]),FALSE), IF(AND(teacher_type="TB",career_stage="HP"),VLOOKUP(O62,TBHPI[],COLUMNS(TBHPI[[Strand]:[Weight]]),FALSE),0)))),0)</f>
        <v>0</v>
      </c>
      <c r="R62" s="188" t="s">
        <v>929</v>
      </c>
      <c r="S62" s="485"/>
      <c r="T62" s="189" t="str">
        <f>IFERROR(IF(LOWER(TRIM(S$20))=LOWER(TRIM(data2!$U$35)),"",IF(AND($G62,$D62="COI",S$12,CZ62),IF(OR(LOWER(TRIM(S$20))=LOWER(TRIM(data2!$U$36)),ISBLANK(S62)),1,IF(career_stage="P",VLOOKUP(S62,P_COT_vlookup,2,FALSE),IF(career_stage="HP",VLOOKUP(S62,HP_COT_vlookup,2,FALSE),""))),"")),"")</f>
        <v/>
      </c>
      <c r="U62" s="485"/>
      <c r="V62" s="189" t="str">
        <f>IFERROR(IF(LOWER(TRIM(U$20))=LOWER(TRIM(data2!$U$35)),"",IF(AND($G62,$D62="COI",U$12,DB62),IF(OR(LOWER(TRIM(U$20))=LOWER(TRIM(data2!$U$36)),ISBLANK(U62)),1,IF(career_stage="P",VLOOKUP(U62,P_COT_vlookup,2,FALSE),IF(career_stage="HP",VLOOKUP(U62,HP_COT_vlookup,2,FALSE),""))),"")),"")</f>
        <v/>
      </c>
      <c r="W62" s="485"/>
      <c r="X62" s="189" t="str">
        <f>IFERROR(IF(LOWER(TRIM(W$20))=LOWER(TRIM(data2!$U$35)),"",IF(AND($G62,$D62="COI",W$12,DD62),IF(OR(LOWER(TRIM(W$20))=LOWER(TRIM(data2!$U$36)),ISBLANK(W62)),1,IF(career_stage="P",VLOOKUP(W62,P_COT_vlookup,2,FALSE),IF(career_stage="HP",VLOOKUP(W62,HP_COT_vlookup,2,FALSE),""))),"")),"")</f>
        <v/>
      </c>
      <c r="Y62" s="485"/>
      <c r="Z62" s="189" t="str">
        <f>IFERROR(IF(LOWER(TRIM(Y$20))=LOWER(TRIM(data2!$U$35)),"",IF(AND($G62,$D62="COI",Y$12,DF62),IF(OR(LOWER(TRIM(Y$20))=LOWER(TRIM(data2!$U$36)),ISBLANK(Y62)),1,IF(career_stage="P",VLOOKUP(Y62,P_COT_vlookup,2,FALSE),IF(career_stage="HP",VLOOKUP(Y62,HP_COT_vlookup,2,FALSE),""))),"")),"")</f>
        <v/>
      </c>
      <c r="AA62" s="312">
        <f t="shared" si="14"/>
        <v>0</v>
      </c>
      <c r="AB62" s="472"/>
      <c r="AC62" s="475"/>
      <c r="AD62" s="475"/>
      <c r="AE62" s="190">
        <f t="shared" si="2"/>
        <v>0</v>
      </c>
      <c r="AF62" s="191">
        <f t="shared" si="3"/>
        <v>0</v>
      </c>
      <c r="AG62" s="192" t="str">
        <f t="shared" si="4"/>
        <v>Poor</v>
      </c>
      <c r="AI62" s="196" t="b">
        <f t="shared" si="5"/>
        <v>1</v>
      </c>
      <c r="AJ62" s="154" t="b">
        <v>1</v>
      </c>
      <c r="AK62" s="154" t="b">
        <v>1</v>
      </c>
      <c r="AL62" s="196" t="b">
        <f t="shared" si="15"/>
        <v>1</v>
      </c>
      <c r="AM62" s="154" t="b">
        <v>1</v>
      </c>
      <c r="AN62" s="196" t="b">
        <f t="shared" si="15"/>
        <v>1</v>
      </c>
      <c r="AO62" s="154" t="b">
        <v>1</v>
      </c>
      <c r="AP62" s="196" t="b">
        <f t="shared" si="15"/>
        <v>1</v>
      </c>
      <c r="AQ62" s="154" t="b">
        <v>1</v>
      </c>
      <c r="AR62" s="196" t="b">
        <f t="shared" si="15"/>
        <v>1</v>
      </c>
      <c r="AS62" s="154" t="b">
        <v>1</v>
      </c>
      <c r="AT62" s="154" t="b">
        <v>1</v>
      </c>
      <c r="AU62" s="196" t="b">
        <f t="shared" si="6"/>
        <v>1</v>
      </c>
      <c r="AV62" s="196" t="b">
        <f t="shared" si="7"/>
        <v>1</v>
      </c>
      <c r="AW62" s="196" t="b">
        <f t="shared" si="8"/>
        <v>1</v>
      </c>
      <c r="AX62" s="47" t="b">
        <v>1</v>
      </c>
      <c r="AY62" s="47" t="b">
        <v>1</v>
      </c>
      <c r="AZ62" s="47" t="b">
        <v>1</v>
      </c>
      <c r="BF62" s="154" t="str">
        <f t="shared" si="9"/>
        <v/>
      </c>
      <c r="BG62" s="196" t="b" cm="1">
        <f t="array" ref="BG62">IFERROR(IF(OR(LOWER(TRIM(S$20))=LOWER(TRIM(data2!$U$35)),LOWER(TRIM(S$20))=LOWER(TRIM(data2!$U$36))),FALSE,AND(S$12,IF(AND($G62,$D62="COI"),
IF(AND(teacher_type="R",career_stage="P"),VLOOKUP($BF62,RPI[],COLUMN(RPI[cot1]),FALSE),
IF(AND(teacher_type="R",career_stage="HP"),VLOOKUP($BF62,RHPI[],COLUMN(RHPI[cot1]),FALSE),
IF(AND(teacher_type="TB",career_stage="P"),VLOOKUP($BF62,TBPI[],COLUMN(TBPI[cot1]),FALSE),
IF(AND(teacher_type="TB",career_stage="HP"),VLOOKUP($BF62,TBHPI[],COLUMN(TBHPI[cot1]),FALSE),FALSE)))),
FALSE))),FALSE)</f>
        <v>0</v>
      </c>
      <c r="BH62" s="154" t="b">
        <v>0</v>
      </c>
      <c r="BI62" s="196" t="b" cm="1">
        <f t="array" ref="BI62">IFERROR(IF(OR(LOWER(TRIM(U$20))=LOWER(TRIM(data2!$U$35)),LOWER(TRIM(U$20))=LOWER(TRIM(data2!$U$36))),FALSE,AND(U$12,IF(AND($G62,$D62="COI"),
IF(AND(teacher_type="R",career_stage="P"),VLOOKUP($BF62,RPI[],COLUMN(RPI[cot2]),FALSE),
IF(AND(teacher_type="R",career_stage="HP"),VLOOKUP($BF62,RHPI[],COLUMN(RHPI[cot2]),FALSE),
IF(AND(teacher_type="TB",career_stage="P"),VLOOKUP($BF62,TBPI[],COLUMN(TBPI[cot2]),FALSE),
IF(AND(teacher_type="TB",career_stage="HP"),VLOOKUP($BF62,TBHPI[],COLUMN(TBHPI[cot2]),FALSE),FALSE)))),
FALSE))),FALSE)</f>
        <v>0</v>
      </c>
      <c r="BJ62" s="154" t="b">
        <v>0</v>
      </c>
      <c r="BK62" s="196" t="b" cm="1">
        <f t="array" ref="BK62">IFERROR(IF(OR(LOWER(TRIM(W$20))=LOWER(TRIM(data2!$U$35)),LOWER(TRIM(W$20))=LOWER(TRIM(data2!$U$36))),FALSE,AND(W$12,IF(AND($G62,$D62="COI"),
IF(AND(teacher_type="R",career_stage="P"),VLOOKUP($BF62,RPI[],COLUMN(RPI[cot3]),FALSE),
IF(AND(teacher_type="R",career_stage="HP"),VLOOKUP($BF62,RHPI[],COLUMN(RHPI[cot3]),FALSE),
IF(AND(teacher_type="TB",career_stage="P"),VLOOKUP($BF62,TBPI[],COLUMN(TBPI[cot3]),FALSE),
IF(AND(teacher_type="TB",career_stage="HP"),VLOOKUP($BF62,TBHPI[],COLUMN(TBHPI[cot3]),FALSE),FALSE)))),
FALSE))),FALSE)</f>
        <v>0</v>
      </c>
      <c r="BL62" s="154" t="b">
        <v>0</v>
      </c>
      <c r="BM62" s="196" t="b" cm="1">
        <f t="array" ref="BM62">IFERROR(IF(OR(LOWER(TRIM(Y$20))=LOWER(TRIM(data2!$U$35)),LOWER(TRIM(Y$20))=LOWER(TRIM(data2!$U$36))),FALSE,AND(Y$12,IF(AND($G62,$D62="COI"),
IF(AND(teacher_type="R",career_stage="P"),VLOOKUP($BF62,RPI[],COLUMN(RPI[cot4]),FALSE),
IF(AND(teacher_type="R",career_stage="HP"),VLOOKUP($BF62,RHPI[],COLUMN(RHPI[cot4]),FALSE),
IF(AND(teacher_type="TB",career_stage="P"),VLOOKUP($BF62,TBPI[],COLUMN(TBPI[cot4]),FALSE),
IF(AND(teacher_type="TB",career_stage="HP"),VLOOKUP($BF62,TBHPI[],COLUMN(TBHPI[cot4]),FALSE),FALSE)))),
FALSE))),FALSE)</f>
        <v>0</v>
      </c>
      <c r="BN62" s="154" t="b">
        <v>0</v>
      </c>
      <c r="BO62" s="150">
        <f t="shared" si="16"/>
        <v>0</v>
      </c>
      <c r="BP62" s="196" t="b">
        <f t="shared" si="17"/>
        <v>0</v>
      </c>
      <c r="BQ62" s="196" t="b">
        <f>IFERROR(IF(OR(NOT(CZ62),LOWER(TRIM(S$20))=LOWER(TRIM(data2!$U$35))),TRUE,IF(AND(CZ62,LOWER(TRIM(S$20))=LOWER(TRIM(data2!$U$36))),FALSE)),FALSE)</f>
        <v>1</v>
      </c>
      <c r="BR62" s="196" t="b">
        <f t="shared" si="18"/>
        <v>0</v>
      </c>
      <c r="BS62" s="196" t="b">
        <f>IFERROR(IF(OR(NOT(DB62),LOWER(TRIM(U$20))=LOWER(TRIM(data2!$U$35))),TRUE,IF(AND(DB62,LOWER(TRIM(U$20))=LOWER(TRIM(data2!$U$36))),FALSE)),FALSE)</f>
        <v>1</v>
      </c>
      <c r="BT62" s="196" t="b">
        <f t="shared" si="19"/>
        <v>0</v>
      </c>
      <c r="BU62" s="196" t="b">
        <f>IFERROR(IF(OR(NOT(DD62),LOWER(TRIM(W$20))=LOWER(TRIM(data2!$U$35))),TRUE,IF(AND(DD62,LOWER(TRIM(W$20))=LOWER(TRIM(data2!$U$36))),FALSE)),FALSE)</f>
        <v>1</v>
      </c>
      <c r="BV62" s="196" t="b">
        <f t="shared" si="20"/>
        <v>0</v>
      </c>
      <c r="BW62" s="196" t="b">
        <f>IFERROR(IF(OR(NOT(DF62),LOWER(TRIM(Y$20))=LOWER(TRIM(data2!$U$35))),TRUE,IF(AND(DF62,LOWER(TRIM(Y$20))=LOWER(TRIM(data2!$U$36))),FALSE)),FALSE)</f>
        <v>1</v>
      </c>
      <c r="BY62" s="154" t="str">
        <f t="shared" si="21"/>
        <v/>
      </c>
      <c r="BZ62" s="154" t="str">
        <f t="shared" si="22"/>
        <v/>
      </c>
      <c r="CA62" s="154" t="str">
        <f t="shared" si="23"/>
        <v/>
      </c>
      <c r="CB62" s="154" t="str">
        <f t="shared" si="24"/>
        <v>CE62:CI62</v>
      </c>
      <c r="CC62" s="154" t="str">
        <f t="shared" si="25"/>
        <v>CK62:CO62</v>
      </c>
      <c r="CD62" s="154" t="str">
        <f t="shared" si="26"/>
        <v>CQ62:CU62</v>
      </c>
      <c r="CE62" s="359" cm="1">
        <f t="array" ref="CE62">IFERROR(IF($BY62&lt;&gt;"",
IF(AND(teacher_type="R",career_stage="P"),
    IF(INDEX(RPS[[Outstanding]:[Poor]],MATCH($BY62,RPS[[helper]:[helper]],0),CE$19)&lt;&gt;"",CE$20,""),
IF(AND(teacher_type="R",career_stage="HP"),
    IF(INDEX(RHPS[[Outstanding]:[Poor]],MATCH($BY62,RHPS[[helper]:[helper]],0),CE$19)&lt;&gt;"",CE$20,""),
IF(AND(teacher_type="TB",career_stage="P"),
    IF(INDEX(TBPS[[Outstanding]:[Poor]],MATCH($BY62,TBPS[[helper]:[helper]],0),CE$19)&lt;&gt;"",CE$20,""),
IF(AND(teacher_type="TB",career_stage="HP"),
    IF(INDEX(TBHPS[[Outstanding]:[Poor]],MATCH($BY62,TBHPS[[helper]:[helper]],0),CE$19)&lt;&gt;"",CE$20,""),
CE$20)))),
CE$20),CE$20)</f>
        <v>5</v>
      </c>
      <c r="CF62" s="359" cm="1">
        <f t="array" ref="CF62">IFERROR(IF($BY62&lt;&gt;"",
IF(AND(teacher_type="R",career_stage="P"),
    IF(INDEX(RPS[[Outstanding]:[Poor]],MATCH($BY62,RPS[[helper]:[helper]],0),CF$19)&lt;&gt;"",CF$20,""),
IF(AND(teacher_type="R",career_stage="HP"),
    IF(INDEX(RHPS[[Outstanding]:[Poor]],MATCH($BY62,RHPS[[helper]:[helper]],0),CF$19)&lt;&gt;"",CF$20,""),
IF(AND(teacher_type="TB",career_stage="P"),
    IF(INDEX(TBPS[[Outstanding]:[Poor]],MATCH($BY62,TBPS[[helper]:[helper]],0),CF$19)&lt;&gt;"",CF$20,""),
IF(AND(teacher_type="TB",career_stage="HP"),
    IF(INDEX(TBHPS[[Outstanding]:[Poor]],MATCH($BY62,TBHPS[[helper]:[helper]],0),CF$19)&lt;&gt;"",CF$20,""),
CF$20)))),
CF$20),CF$20)</f>
        <v>4</v>
      </c>
      <c r="CG62" s="359" cm="1">
        <f t="array" ref="CG62">IFERROR(IF($BY62&lt;&gt;"",
IF(AND(teacher_type="R",career_stage="P"),
    IF(INDEX(RPS[[Outstanding]:[Poor]],MATCH($BY62,RPS[[helper]:[helper]],0),CG$19)&lt;&gt;"",CG$20,""),
IF(AND(teacher_type="R",career_stage="HP"),
    IF(INDEX(RHPS[[Outstanding]:[Poor]],MATCH($BY62,RHPS[[helper]:[helper]],0),CG$19)&lt;&gt;"",CG$20,""),
IF(AND(teacher_type="TB",career_stage="P"),
    IF(INDEX(TBPS[[Outstanding]:[Poor]],MATCH($BY62,TBPS[[helper]:[helper]],0),CG$19)&lt;&gt;"",CG$20,""),
IF(AND(teacher_type="TB",career_stage="HP"),
    IF(INDEX(TBHPS[[Outstanding]:[Poor]],MATCH($BY62,TBHPS[[helper]:[helper]],0),CG$19)&lt;&gt;"",CG$20,""),
CG$20)))),
CG$20),CG$20)</f>
        <v>3</v>
      </c>
      <c r="CH62" s="359" cm="1">
        <f t="array" ref="CH62">IFERROR(IF($BY62&lt;&gt;"",
IF(AND(teacher_type="R",career_stage="P"),
    IF(INDEX(RPS[[Outstanding]:[Poor]],MATCH($BY62,RPS[[helper]:[helper]],0),CH$19)&lt;&gt;"",CH$20,""),
IF(AND(teacher_type="R",career_stage="HP"),
    IF(INDEX(RHPS[[Outstanding]:[Poor]],MATCH($BY62,RHPS[[helper]:[helper]],0),CH$19)&lt;&gt;"",CH$20,""),
IF(AND(teacher_type="TB",career_stage="P"),
    IF(INDEX(TBPS[[Outstanding]:[Poor]],MATCH($BY62,TBPS[[helper]:[helper]],0),CH$19)&lt;&gt;"",CH$20,""),
IF(AND(teacher_type="TB",career_stage="HP"),
    IF(INDEX(TBHPS[[Outstanding]:[Poor]],MATCH($BY62,TBHPS[[helper]:[helper]],0),CH$19)&lt;&gt;"",CH$20,""),
CH$20)))),
CH$20),CH$20)</f>
        <v>2</v>
      </c>
      <c r="CI62" s="359" cm="1">
        <f t="array" ref="CI62">IFERROR(IF($BY62&lt;&gt;"",
IF(AND(teacher_type="R",career_stage="P"),
    IF(INDEX(RPS[[Outstanding]:[Poor]],MATCH($BY62,RPS[[helper]:[helper]],0),CI$19)&lt;&gt;"",CI$20,""),
IF(AND(teacher_type="R",career_stage="HP"),
    IF(INDEX(RHPS[[Outstanding]:[Poor]],MATCH($BY62,RHPS[[helper]:[helper]],0),CI$19)&lt;&gt;"",CI$20,""),
IF(AND(teacher_type="TB",career_stage="P"),
    IF(INDEX(TBPS[[Outstanding]:[Poor]],MATCH($BY62,TBPS[[helper]:[helper]],0),CI$19)&lt;&gt;"",CI$20,""),
IF(AND(teacher_type="TB",career_stage="HP"),
    IF(INDEX(TBHPS[[Outstanding]:[Poor]],MATCH($BY62,TBHPS[[helper]:[helper]],0),CI$19)&lt;&gt;"",CI$20,""),
CI$20)))),
CI$20),CI$20)</f>
        <v>1</v>
      </c>
      <c r="CJ62" s="360">
        <f t="shared" si="27"/>
        <v>5</v>
      </c>
      <c r="CK62" s="359" cm="1">
        <f t="array" ref="CK62">IFERROR(IF($BZ62&lt;&gt;"",
IF(AND(teacher_type="R",career_stage="P"),
    IF(INDEX(RPS[[Outstanding]:[Poor]],MATCH($BZ62,RPS[[helper]:[helper]],0),CK$19)&lt;&gt;"",CK$20,""),
IF(AND(teacher_type="R",career_stage="HP"),
    IF(INDEX(RHPS[[Outstanding]:[Poor]],MATCH($BZ62,RHPS[[helper]:[helper]],0),CK$19)&lt;&gt;"",CK$20,""),
IF(AND(teacher_type="TB",career_stage="P"),
    IF(INDEX(TBPS[[Outstanding]:[Poor]],MATCH($BZ62,TBPS[[helper]:[helper]],0),CK$19)&lt;&gt;"",CK$20,""),
IF(AND(teacher_type="TB",career_stage="HP"),
    IF(INDEX(TBHPS[[Outstanding]:[Poor]],MATCH($BZ62,TBHPS[[helper]:[helper]],0),CK$19)&lt;&gt;"",CK$20,""),
CK$20)))),
CK$20),CK$20)</f>
        <v>5</v>
      </c>
      <c r="CL62" s="359" cm="1">
        <f t="array" ref="CL62">IFERROR(IF($BZ62&lt;&gt;"",
IF(AND(teacher_type="R",career_stage="P"),
    IF(INDEX(RPS[[Outstanding]:[Poor]],MATCH($BZ62,RPS[[helper]:[helper]],0),CL$19)&lt;&gt;"",CL$20,""),
IF(AND(teacher_type="R",career_stage="HP"),
    IF(INDEX(RHPS[[Outstanding]:[Poor]],MATCH($BZ62,RHPS[[helper]:[helper]],0),CL$19)&lt;&gt;"",CL$20,""),
IF(AND(teacher_type="TB",career_stage="P"),
    IF(INDEX(TBPS[[Outstanding]:[Poor]],MATCH($BZ62,TBPS[[helper]:[helper]],0),CL$19)&lt;&gt;"",CL$20,""),
IF(AND(teacher_type="TB",career_stage="HP"),
    IF(INDEX(TBHPS[[Outstanding]:[Poor]],MATCH($BZ62,TBHPS[[helper]:[helper]],0),CL$19)&lt;&gt;"",CL$20,""),
CL$20)))),
CL$20),CL$20)</f>
        <v>4</v>
      </c>
      <c r="CM62" s="359" cm="1">
        <f t="array" ref="CM62">IFERROR(IF($BZ62&lt;&gt;"",
IF(AND(teacher_type="R",career_stage="P"),
    IF(INDEX(RPS[[Outstanding]:[Poor]],MATCH($BZ62,RPS[[helper]:[helper]],0),CM$19)&lt;&gt;"",CM$20,""),
IF(AND(teacher_type="R",career_stage="HP"),
    IF(INDEX(RHPS[[Outstanding]:[Poor]],MATCH($BZ62,RHPS[[helper]:[helper]],0),CM$19)&lt;&gt;"",CM$20,""),
IF(AND(teacher_type="TB",career_stage="P"),
    IF(INDEX(TBPS[[Outstanding]:[Poor]],MATCH($BZ62,TBPS[[helper]:[helper]],0),CM$19)&lt;&gt;"",CM$20,""),
IF(AND(teacher_type="TB",career_stage="HP"),
    IF(INDEX(TBHPS[[Outstanding]:[Poor]],MATCH($BZ62,TBHPS[[helper]:[helper]],0),CM$19)&lt;&gt;"",CM$20,""),
CM$20)))),
CM$20),CM$20)</f>
        <v>3</v>
      </c>
      <c r="CN62" s="359" cm="1">
        <f t="array" ref="CN62">IFERROR(IF($BZ62&lt;&gt;"",
IF(AND(teacher_type="R",career_stage="P"),
    IF(INDEX(RPS[[Outstanding]:[Poor]],MATCH($BZ62,RPS[[helper]:[helper]],0),CN$19)&lt;&gt;"",CN$20,""),
IF(AND(teacher_type="R",career_stage="HP"),
    IF(INDEX(RHPS[[Outstanding]:[Poor]],MATCH($BZ62,RHPS[[helper]:[helper]],0),CN$19)&lt;&gt;"",CN$20,""),
IF(AND(teacher_type="TB",career_stage="P"),
    IF(INDEX(TBPS[[Outstanding]:[Poor]],MATCH($BZ62,TBPS[[helper]:[helper]],0),CN$19)&lt;&gt;"",CN$20,""),
IF(AND(teacher_type="TB",career_stage="HP"),
    IF(INDEX(TBHPS[[Outstanding]:[Poor]],MATCH($BZ62,TBHPS[[helper]:[helper]],0),CN$19)&lt;&gt;"",CN$20,""),
CN$20)))),
CN$20),CN$20)</f>
        <v>2</v>
      </c>
      <c r="CO62" s="359" cm="1">
        <f t="array" ref="CO62">IFERROR(IF($BZ62&lt;&gt;"",
IF(AND(teacher_type="R",career_stage="P"),
    IF(INDEX(RPS[[Outstanding]:[Poor]],MATCH($BZ62,RPS[[helper]:[helper]],0),CO$19)&lt;&gt;"",CO$20,""),
IF(AND(teacher_type="R",career_stage="HP"),
    IF(INDEX(RHPS[[Outstanding]:[Poor]],MATCH($BZ62,RHPS[[helper]:[helper]],0),CO$19)&lt;&gt;"",CO$20,""),
IF(AND(teacher_type="TB",career_stage="P"),
    IF(INDEX(TBPS[[Outstanding]:[Poor]],MATCH($BZ62,TBPS[[helper]:[helper]],0),CO$19)&lt;&gt;"",CO$20,""),
IF(AND(teacher_type="TB",career_stage="HP"),
    IF(INDEX(TBHPS[[Outstanding]:[Poor]],MATCH($BZ62,TBHPS[[helper]:[helper]],0),CO$19)&lt;&gt;"",CO$20,""),
CO$20)))),
CO$20),CO$20)</f>
        <v>1</v>
      </c>
      <c r="CP62" s="360">
        <f t="shared" si="28"/>
        <v>5</v>
      </c>
      <c r="CQ62" s="359" cm="1">
        <f t="array" ref="CQ62">IFERROR(IF($CA62&lt;&gt;"",
IF(AND(teacher_type="R",career_stage="P"),
    IF(INDEX(RPS[[Outstanding]:[Poor]],MATCH($CA62,RPS[[helper]:[helper]],0),CQ$19)&lt;&gt;"",CQ$20,""),
IF(AND(teacher_type="R",career_stage="HP"),
    IF(INDEX(RHPS[[Outstanding]:[Poor]],MATCH($CA62,RHPS[[helper]:[helper]],0),CQ$19)&lt;&gt;"",CQ$20,""),
IF(AND(teacher_type="TB",career_stage="P"),
    IF(INDEX(TBPS[[Outstanding]:[Poor]],MATCH($CA62,TBPS[[helper]:[helper]],0),CQ$19)&lt;&gt;"",CQ$20,""),
IF(AND(teacher_type="TB",career_stage="HP"),
    IF(INDEX(TBHPS[[Outstanding]:[Poor]],MATCH($CA62,TBHPS[[helper]:[helper]],0),CQ$19)&lt;&gt;"",CQ$20,""),
CQ$20)))),
CQ$20),CQ$20)</f>
        <v>5</v>
      </c>
      <c r="CR62" s="359" cm="1">
        <f t="array" ref="CR62">IFERROR(IF($CA62&lt;&gt;"",
IF(AND(teacher_type="R",career_stage="P"),
    IF(INDEX(RPS[[Outstanding]:[Poor]],MATCH($CA62,RPS[[helper]:[helper]],0),CR$19)&lt;&gt;"",CR$20,""),
IF(AND(teacher_type="R",career_stage="HP"),
    IF(INDEX(RHPS[[Outstanding]:[Poor]],MATCH($CA62,RHPS[[helper]:[helper]],0),CR$19)&lt;&gt;"",CR$20,""),
IF(AND(teacher_type="TB",career_stage="P"),
    IF(INDEX(TBPS[[Outstanding]:[Poor]],MATCH($CA62,TBPS[[helper]:[helper]],0),CR$19)&lt;&gt;"",CR$20,""),
IF(AND(teacher_type="TB",career_stage="HP"),
    IF(INDEX(TBHPS[[Outstanding]:[Poor]],MATCH($CA62,TBHPS[[helper]:[helper]],0),CR$19)&lt;&gt;"",CR$20,""),
CR$20)))),
CR$20),CR$20)</f>
        <v>4</v>
      </c>
      <c r="CS62" s="359" cm="1">
        <f t="array" ref="CS62">IFERROR(IF($CA62&lt;&gt;"",
IF(AND(teacher_type="R",career_stage="P"),
    IF(INDEX(RPS[[Outstanding]:[Poor]],MATCH($CA62,RPS[[helper]:[helper]],0),CS$19)&lt;&gt;"",CS$20,""),
IF(AND(teacher_type="R",career_stage="HP"),
    IF(INDEX(RHPS[[Outstanding]:[Poor]],MATCH($CA62,RHPS[[helper]:[helper]],0),CS$19)&lt;&gt;"",CS$20,""),
IF(AND(teacher_type="TB",career_stage="P"),
    IF(INDEX(TBPS[[Outstanding]:[Poor]],MATCH($CA62,TBPS[[helper]:[helper]],0),CS$19)&lt;&gt;"",CS$20,""),
IF(AND(teacher_type="TB",career_stage="HP"),
    IF(INDEX(TBHPS[[Outstanding]:[Poor]],MATCH($CA62,TBHPS[[helper]:[helper]],0),CS$19)&lt;&gt;"",CS$20,""),
CS$20)))),
CS$20),CS$20)</f>
        <v>3</v>
      </c>
      <c r="CT62" s="359" cm="1">
        <f t="array" ref="CT62">IFERROR(IF($CA62&lt;&gt;"",
IF(AND(teacher_type="R",career_stage="P"),
    IF(INDEX(RPS[[Outstanding]:[Poor]],MATCH($CA62,RPS[[helper]:[helper]],0),CT$19)&lt;&gt;"",CT$20,""),
IF(AND(teacher_type="R",career_stage="HP"),
    IF(INDEX(RHPS[[Outstanding]:[Poor]],MATCH($CA62,RHPS[[helper]:[helper]],0),CT$19)&lt;&gt;"",CT$20,""),
IF(AND(teacher_type="TB",career_stage="P"),
    IF(INDEX(TBPS[[Outstanding]:[Poor]],MATCH($CA62,TBPS[[helper]:[helper]],0),CT$19)&lt;&gt;"",CT$20,""),
IF(AND(teacher_type="TB",career_stage="HP"),
    IF(INDEX(TBHPS[[Outstanding]:[Poor]],MATCH($CA62,TBHPS[[helper]:[helper]],0),CT$19)&lt;&gt;"",CT$20,""),
CT$20)))),
CT$20),CT$20)</f>
        <v>2</v>
      </c>
      <c r="CU62" s="359" cm="1">
        <f t="array" ref="CU62">IFERROR(IF($CA62&lt;&gt;"",
IF(AND(teacher_type="R",career_stage="P"),
    IF(INDEX(RPS[[Outstanding]:[Poor]],MATCH($CA62,RPS[[helper]:[helper]],0),CU$19)&lt;&gt;"",CU$20,""),
IF(AND(teacher_type="R",career_stage="HP"),
    IF(INDEX(RHPS[[Outstanding]:[Poor]],MATCH($CA62,RHPS[[helper]:[helper]],0),CU$19)&lt;&gt;"",CU$20,""),
IF(AND(teacher_type="TB",career_stage="P"),
    IF(INDEX(TBPS[[Outstanding]:[Poor]],MATCH($CA62,TBPS[[helper]:[helper]],0),CU$19)&lt;&gt;"",CU$20,""),
IF(AND(teacher_type="TB",career_stage="HP"),
    IF(INDEX(TBHPS[[Outstanding]:[Poor]],MATCH($CA62,TBHPS[[helper]:[helper]],0),CU$19)&lt;&gt;"",CU$20,""),
CU$20)))),
CU$20),CU$20)</f>
        <v>1</v>
      </c>
      <c r="CV62" s="360">
        <f t="shared" si="29"/>
        <v>5</v>
      </c>
      <c r="CY62" s="443" t="b" cm="1">
        <f t="array" ref="CY62">IFERROR(AND(S$12,IF(AND($G62,$D62="COI"),
IF(AND(teacher_type="R",career_stage="P"),VLOOKUP($BF62,RPI[],COLUMN(RPI[cot1]),FALSE),
IF(AND(teacher_type="R",career_stage="HP"),VLOOKUP($BF62,RHPI[],COLUMN(RHPI[cot1]),FALSE),
IF(AND(teacher_type="TB",career_stage="P"),VLOOKUP($BF62,TBPI[],COLUMN(TBPI[cot1]),FALSE),
IF(AND(teacher_type="TB",career_stage="HP"),VLOOKUP($BF62,TBHPI[],COLUMN(TBHPI[cot1]),FALSE),FALSE)))),
FALSE)),FALSE)</f>
        <v>0</v>
      </c>
      <c r="CZ62" s="443" t="b">
        <f t="shared" si="30"/>
        <v>0</v>
      </c>
      <c r="DA62" s="443" t="b" cm="1">
        <f t="array" ref="DA62">IFERROR(AND(U$12,IF(AND($G62,$D62="COI"),
IF(AND(teacher_type="R",career_stage="P"),VLOOKUP($BF62,RPI[],COLUMN(RPI[cot2]),FALSE),
IF(AND(teacher_type="R",career_stage="HP"),VLOOKUP($BF62,RHPI[],COLUMN(RHPI[cot2]),FALSE),
IF(AND(teacher_type="TB",career_stage="P"),VLOOKUP($BF62,TBPI[],COLUMN(TBPI[cot2]),FALSE),
IF(AND(teacher_type="TB",career_stage="HP"),VLOOKUP($BF62,TBHPI[],COLUMN(TBHPI[cot2]),FALSE),FALSE)))),
FALSE)),FALSE)</f>
        <v>0</v>
      </c>
      <c r="DB62" s="443" t="b">
        <f t="shared" si="31"/>
        <v>0</v>
      </c>
      <c r="DC62" s="443" t="b" cm="1">
        <f t="array" ref="DC62">IFERROR(AND(W$12,IF(AND($G62,$D62="COI"),
IF(AND(teacher_type="R",career_stage="P"),VLOOKUP($BF62,RPI[],COLUMN(RPI[cot3]),FALSE),
IF(AND(teacher_type="R",career_stage="HP"),VLOOKUP($BF62,RHPI[],COLUMN(RHPI[cot3]),FALSE),
IF(AND(teacher_type="TB",career_stage="P"),VLOOKUP($BF62,TBPI[],COLUMN(TBPI[cot3]),FALSE),
IF(AND(teacher_type="TB",career_stage="HP"),VLOOKUP($BF62,TBHPI[],COLUMN(TBHPI[cot3]),FALSE),FALSE)))),
FALSE)),FALSE)</f>
        <v>0</v>
      </c>
      <c r="DD62" s="443" t="b">
        <f t="shared" si="32"/>
        <v>0</v>
      </c>
      <c r="DE62" s="443" t="b" cm="1">
        <f t="array" ref="DE62">IFERROR(AND(Y$12,IF(AND($G62,$D62="COI"),
IF(AND(teacher_type="R",career_stage="P"),VLOOKUP($BF62,RPI[],COLUMN(RPI[cot4]),FALSE),
IF(AND(teacher_type="R",career_stage="HP"),VLOOKUP($BF62,RHPI[],COLUMN(RHPI[cot4]),FALSE),
IF(AND(teacher_type="TB",career_stage="P"),VLOOKUP($BF62,TBPI[],COLUMN(TBPI[cot4]),FALSE),
IF(AND(teacher_type="TB",career_stage="HP"),VLOOKUP($BF62,TBHPI[],COLUMN(TBHPI[cot4]),FALSE),FALSE)))),
FALSE)),FALSE)</f>
        <v>0</v>
      </c>
      <c r="DF62" s="443" t="b">
        <f t="shared" si="33"/>
        <v>0</v>
      </c>
      <c r="DG62" s="150">
        <f t="shared" si="34"/>
        <v>0</v>
      </c>
      <c r="DH62" s="154">
        <f>IF(AND(CY62,LOWER(TRIM(S$20))=LOWER(TRIM(data2!$U$35))),1,0) +
IF(AND(DA62,LOWER(TRIM(U$20))=LOWER(TRIM(data2!$U$35))),1,0) +
IF(AND(DC62,LOWER(TRIM(W$20))=LOWER(TRIM(data2!$U$35))),1,0) +
IF(AND(DE62,LOWER(TRIM(Y$20))=LOWER(TRIM(data2!$U$35))),1,0)</f>
        <v>0</v>
      </c>
      <c r="DJ62" s="154">
        <f t="shared" si="35"/>
        <v>0</v>
      </c>
    </row>
    <row r="63" spans="1:114" s="154" customFormat="1" ht="24.95" customHeight="1" x14ac:dyDescent="0.25">
      <c r="C63" s="150"/>
      <c r="D63" s="150"/>
      <c r="E63" s="150"/>
      <c r="F63" s="150"/>
      <c r="M63" s="305"/>
      <c r="N63" s="306"/>
      <c r="O63" s="306"/>
      <c r="P63" s="306"/>
      <c r="Q63" s="306"/>
      <c r="R63" s="299" t="s">
        <v>1084</v>
      </c>
      <c r="S63" s="633">
        <v>45216</v>
      </c>
      <c r="T63" s="634"/>
      <c r="U63" s="633">
        <v>45307</v>
      </c>
      <c r="V63" s="634"/>
      <c r="W63" s="633">
        <v>45358</v>
      </c>
      <c r="X63" s="634"/>
      <c r="Y63" s="633">
        <v>45419</v>
      </c>
      <c r="Z63" s="634"/>
      <c r="AA63" s="577" t="s">
        <v>1085</v>
      </c>
      <c r="AB63" s="577"/>
      <c r="AC63" s="577"/>
      <c r="AD63" s="577"/>
      <c r="AE63" s="577"/>
      <c r="AF63" s="636">
        <f>ROUNDDOWN(SUM(AF22:AF62),3)</f>
        <v>4.5990000000000002</v>
      </c>
      <c r="AG63" s="637"/>
      <c r="AI63" s="154" t="b">
        <v>1</v>
      </c>
      <c r="AJ63" s="154" t="b">
        <v>1</v>
      </c>
      <c r="AK63" s="154" t="b">
        <v>1</v>
      </c>
      <c r="AL63" s="196" t="b">
        <f t="shared" si="15"/>
        <v>1</v>
      </c>
      <c r="AM63" s="196" t="b">
        <f>AL63</f>
        <v>1</v>
      </c>
      <c r="AN63" s="196" t="b">
        <f>OR(U18,AND(NOT(U18),OR(NOT(ISBLANK(U63)),NOT(encoding_COT2_enable))))</f>
        <v>1</v>
      </c>
      <c r="AO63" s="196" t="b">
        <f>AN63</f>
        <v>1</v>
      </c>
      <c r="AP63" s="196" t="b">
        <f>OR(W18,AND(NOT(W18),OR(NOT(ISBLANK(W63)),NOT(encoding_COT3_enable))))</f>
        <v>1</v>
      </c>
      <c r="AQ63" s="196" t="b">
        <f>AP63</f>
        <v>1</v>
      </c>
      <c r="AR63" s="196" t="b">
        <f>OR(Y18,AND(NOT(Y18),OR(NOT(ISBLANK(Y63)),NOT(encoding_COT4_enable))))</f>
        <v>1</v>
      </c>
      <c r="AS63" s="196" t="b">
        <f>AR63</f>
        <v>1</v>
      </c>
      <c r="AT63" s="47" t="b">
        <v>1</v>
      </c>
      <c r="AU63" s="47" t="b">
        <v>1</v>
      </c>
      <c r="AV63" s="47" t="b">
        <v>1</v>
      </c>
      <c r="AW63" s="47" t="b">
        <v>1</v>
      </c>
      <c r="AX63" s="47" t="b">
        <v>1</v>
      </c>
      <c r="AY63" s="47" t="b">
        <v>1</v>
      </c>
      <c r="AZ63" s="47" t="b">
        <v>1</v>
      </c>
      <c r="BO63" s="150"/>
      <c r="CY63" s="150"/>
      <c r="CZ63" s="150"/>
      <c r="DA63" s="150"/>
      <c r="DB63" s="150"/>
      <c r="DC63" s="150"/>
      <c r="DD63" s="150"/>
      <c r="DE63" s="150"/>
      <c r="DF63" s="150"/>
      <c r="DG63" s="150"/>
    </row>
    <row r="64" spans="1:114" s="154" customFormat="1" ht="27" customHeight="1" thickBot="1" x14ac:dyDescent="0.3">
      <c r="C64" s="150"/>
      <c r="D64" s="150"/>
      <c r="E64" s="150"/>
      <c r="F64" s="150"/>
      <c r="M64" s="307"/>
      <c r="N64" s="308"/>
      <c r="O64" s="308"/>
      <c r="P64" s="308"/>
      <c r="Q64" s="308"/>
      <c r="R64" s="447" t="s">
        <v>1086</v>
      </c>
      <c r="S64" s="631" t="str">
        <f>IFERROR(IF(AND(S12,S18),"✔",IF(S12,"Required","")),"")</f>
        <v>✔</v>
      </c>
      <c r="T64" s="632"/>
      <c r="U64" s="631" t="str">
        <f>IFERROR(IF(AND(U12,U18),"✔",IF(U12,"Required","")),"")</f>
        <v>✔</v>
      </c>
      <c r="V64" s="632"/>
      <c r="W64" s="631" t="str">
        <f>IFERROR(IF(AND(W12,W18),"✔",IF(W12,"Required","")),"")</f>
        <v>✔</v>
      </c>
      <c r="X64" s="632"/>
      <c r="Y64" s="631" t="str">
        <f>IFERROR(IF(AND(Y12,Y18),"✔",IF(Y12,"Required","")),"")</f>
        <v>✔</v>
      </c>
      <c r="Z64" s="632"/>
      <c r="AA64" s="626" t="s">
        <v>1087</v>
      </c>
      <c r="AB64" s="627"/>
      <c r="AC64" s="627"/>
      <c r="AD64" s="627"/>
      <c r="AE64" s="628"/>
      <c r="AF64" s="629" t="str">
        <f>IFERROR(VLOOKUP($AF$63,rating_desc_vlookup,2,TRUE),"")</f>
        <v>Outstanding</v>
      </c>
      <c r="AG64" s="630"/>
      <c r="AI64" s="47" t="b">
        <v>1</v>
      </c>
      <c r="AJ64" s="47" t="b">
        <v>1</v>
      </c>
      <c r="AK64" s="47" t="b">
        <v>1</v>
      </c>
      <c r="AL64" s="47" t="b">
        <v>1</v>
      </c>
      <c r="AM64" s="47" t="b">
        <v>1</v>
      </c>
      <c r="AN64" s="47" t="b">
        <v>1</v>
      </c>
      <c r="AO64" s="47" t="b">
        <v>1</v>
      </c>
      <c r="AP64" s="47" t="b">
        <v>1</v>
      </c>
      <c r="AQ64" s="47" t="b">
        <v>1</v>
      </c>
      <c r="AR64" s="47" t="b">
        <v>1</v>
      </c>
      <c r="AS64" s="47" t="b">
        <v>1</v>
      </c>
      <c r="AT64" s="47" t="b">
        <v>1</v>
      </c>
      <c r="AU64" s="47" t="b">
        <v>1</v>
      </c>
      <c r="AV64" s="47" t="b">
        <v>1</v>
      </c>
      <c r="AW64" s="47" t="b">
        <v>1</v>
      </c>
      <c r="AX64" s="47" t="b">
        <v>1</v>
      </c>
      <c r="AY64" s="47" t="b">
        <v>1</v>
      </c>
      <c r="AZ64" s="47" t="b">
        <v>1</v>
      </c>
      <c r="BO64" s="150"/>
      <c r="CY64" s="150"/>
      <c r="CZ64" s="150"/>
      <c r="DA64" s="150"/>
      <c r="DB64" s="150"/>
      <c r="DC64" s="150"/>
      <c r="DD64" s="150"/>
      <c r="DE64" s="150"/>
      <c r="DF64" s="150"/>
      <c r="DG64" s="150"/>
    </row>
    <row r="65" spans="1:58" ht="15.6" customHeight="1" x14ac:dyDescent="0.25">
      <c r="Q65" s="193"/>
      <c r="AI65" s="47" t="b">
        <v>1</v>
      </c>
      <c r="AJ65" s="47" t="b">
        <v>1</v>
      </c>
      <c r="AK65" s="47" t="b">
        <v>1</v>
      </c>
      <c r="AL65" s="47" t="b">
        <v>1</v>
      </c>
      <c r="AM65" s="47" t="b">
        <v>1</v>
      </c>
      <c r="AN65" s="47" t="b">
        <v>1</v>
      </c>
      <c r="AO65" s="47" t="b">
        <v>1</v>
      </c>
      <c r="AP65" s="47" t="b">
        <v>1</v>
      </c>
      <c r="AQ65" s="47" t="b">
        <v>1</v>
      </c>
      <c r="AR65" s="47" t="b">
        <v>1</v>
      </c>
      <c r="AS65" s="47" t="b">
        <v>1</v>
      </c>
      <c r="AT65" s="47" t="b">
        <v>1</v>
      </c>
      <c r="AU65" s="47" t="b">
        <v>1</v>
      </c>
      <c r="AV65" s="47" t="b">
        <v>1</v>
      </c>
      <c r="AW65" s="47" t="b">
        <v>1</v>
      </c>
      <c r="AX65" s="47" t="b">
        <v>1</v>
      </c>
      <c r="AY65" s="47" t="b">
        <v>1</v>
      </c>
      <c r="AZ65" s="47" t="b">
        <v>1</v>
      </c>
      <c r="BA65" s="154"/>
    </row>
    <row r="66" spans="1:58" ht="15.6" customHeight="1" x14ac:dyDescent="0.25">
      <c r="Q66" s="47" t="s">
        <v>1088</v>
      </c>
      <c r="W66" s="47" t="s">
        <v>1089</v>
      </c>
      <c r="AI66" s="47" t="b">
        <v>1</v>
      </c>
      <c r="AJ66" s="47" t="b">
        <v>1</v>
      </c>
      <c r="AK66" s="47" t="b">
        <v>1</v>
      </c>
      <c r="AL66" s="47" t="b">
        <v>1</v>
      </c>
      <c r="AM66" s="47" t="b">
        <v>1</v>
      </c>
      <c r="AN66" s="47" t="b">
        <v>1</v>
      </c>
      <c r="AO66" s="47" t="b">
        <v>1</v>
      </c>
      <c r="AP66" s="47" t="b">
        <v>1</v>
      </c>
      <c r="AQ66" s="47" t="b">
        <v>1</v>
      </c>
      <c r="AR66" s="47" t="b">
        <v>1</v>
      </c>
      <c r="AS66" s="47" t="b">
        <v>1</v>
      </c>
      <c r="AT66" s="47" t="b">
        <v>1</v>
      </c>
      <c r="AU66" s="47" t="b">
        <v>1</v>
      </c>
      <c r="AV66" s="47" t="b">
        <v>1</v>
      </c>
      <c r="AW66" s="47" t="b">
        <v>1</v>
      </c>
      <c r="AX66" s="47" t="b">
        <v>1</v>
      </c>
      <c r="AY66" s="47" t="b">
        <v>1</v>
      </c>
      <c r="AZ66" s="47" t="b">
        <v>1</v>
      </c>
      <c r="BA66" s="154"/>
      <c r="BF66" s="154"/>
    </row>
    <row r="67" spans="1:58" ht="15.6" customHeight="1" x14ac:dyDescent="0.25">
      <c r="AI67" s="47" t="b">
        <v>1</v>
      </c>
      <c r="AJ67" s="47" t="b">
        <v>1</v>
      </c>
      <c r="AK67" s="47" t="b">
        <v>1</v>
      </c>
      <c r="AL67" s="47" t="b">
        <v>1</v>
      </c>
      <c r="AM67" s="47" t="b">
        <v>1</v>
      </c>
      <c r="AN67" s="47" t="b">
        <v>1</v>
      </c>
      <c r="AO67" s="47" t="b">
        <v>1</v>
      </c>
      <c r="AP67" s="47" t="b">
        <v>1</v>
      </c>
      <c r="AQ67" s="47" t="b">
        <v>1</v>
      </c>
      <c r="AR67" s="47" t="b">
        <v>1</v>
      </c>
      <c r="AS67" s="47" t="b">
        <v>1</v>
      </c>
      <c r="AT67" s="47" t="b">
        <v>1</v>
      </c>
      <c r="AU67" s="47" t="b">
        <v>1</v>
      </c>
      <c r="AV67" s="47" t="b">
        <v>1</v>
      </c>
      <c r="AW67" s="47" t="b">
        <v>1</v>
      </c>
      <c r="AX67" s="47" t="b">
        <v>1</v>
      </c>
      <c r="AY67" s="47" t="b">
        <v>1</v>
      </c>
      <c r="AZ67" s="47" t="b">
        <v>1</v>
      </c>
      <c r="BA67" s="154"/>
    </row>
    <row r="68" spans="1:58" ht="24.95" customHeight="1" x14ac:dyDescent="0.25">
      <c r="A68" s="615"/>
      <c r="B68" s="615"/>
      <c r="C68" s="615"/>
      <c r="D68" s="615"/>
      <c r="E68" s="615"/>
      <c r="F68" s="615"/>
      <c r="G68" s="615"/>
      <c r="H68" s="615"/>
      <c r="I68" s="615"/>
      <c r="J68" s="615"/>
      <c r="K68" s="615"/>
      <c r="L68" s="615"/>
      <c r="M68" s="615"/>
      <c r="N68" s="615"/>
      <c r="O68" s="615"/>
      <c r="P68" s="198"/>
      <c r="Q68" s="638" t="str" cm="1">
        <f t="array" ref="Q68">demographics[rater_firstname] &amp; " " &amp; IF(demographics[rater_middlename]="","",LEFT(demographics[rater_middlename],1)&amp;". ") &amp; demographics[rater_lastname]</f>
        <v>FRANCISCO P. MUYANA</v>
      </c>
      <c r="R68" s="638"/>
      <c r="S68" s="638"/>
      <c r="T68" s="638"/>
      <c r="U68" s="638"/>
      <c r="V68" s="313"/>
      <c r="W68" s="339" t="s">
        <v>1090</v>
      </c>
      <c r="X68" s="654" t="s">
        <v>2010</v>
      </c>
      <c r="Y68" s="654"/>
      <c r="Z68" s="654"/>
      <c r="AA68" s="340" t="s">
        <v>1091</v>
      </c>
      <c r="AB68" s="651" t="s">
        <v>1989</v>
      </c>
      <c r="AC68" s="652"/>
      <c r="AD68" s="653"/>
      <c r="AE68" s="339" t="s">
        <v>1031</v>
      </c>
      <c r="AF68" s="654" t="s">
        <v>2011</v>
      </c>
      <c r="AG68" s="654"/>
      <c r="AI68" s="47" t="b">
        <v>1</v>
      </c>
      <c r="AJ68" s="47" t="b">
        <v>1</v>
      </c>
      <c r="AK68" s="47" t="b">
        <v>1</v>
      </c>
      <c r="AL68" s="47" t="b">
        <v>1</v>
      </c>
      <c r="AM68" s="47" t="b">
        <v>1</v>
      </c>
      <c r="AN68" s="47" t="b">
        <v>1</v>
      </c>
      <c r="AO68" s="47" t="b">
        <v>1</v>
      </c>
      <c r="AP68" s="47" t="b">
        <v>1</v>
      </c>
      <c r="AQ68" s="140" t="b">
        <f>NOT(ISBLANK(encoding_approver_lastname))</f>
        <v>1</v>
      </c>
      <c r="AR68" s="140" t="b">
        <f>AQ68</f>
        <v>1</v>
      </c>
      <c r="AS68" s="140" t="b">
        <f>AQ68</f>
        <v>1</v>
      </c>
      <c r="AT68" s="314" t="b">
        <v>1</v>
      </c>
      <c r="AU68" s="140" t="b">
        <f>NOT(ISBLANK(encoding_approver_firstname))</f>
        <v>1</v>
      </c>
      <c r="AV68" s="140" t="b">
        <f>AU68</f>
        <v>1</v>
      </c>
      <c r="AW68" s="140" t="b">
        <f>AU68</f>
        <v>1</v>
      </c>
      <c r="AX68" s="47" t="b">
        <v>1</v>
      </c>
      <c r="AY68" s="140" t="b">
        <v>1</v>
      </c>
      <c r="AZ68" s="140" t="b">
        <f>AY68</f>
        <v>1</v>
      </c>
      <c r="BA68" s="154"/>
      <c r="BF68" s="154"/>
    </row>
    <row r="69" spans="1:58" ht="24.95" customHeight="1" x14ac:dyDescent="0.25">
      <c r="A69" s="616"/>
      <c r="B69" s="616"/>
      <c r="C69" s="616"/>
      <c r="D69" s="616"/>
      <c r="E69" s="616"/>
      <c r="F69" s="616"/>
      <c r="G69" s="616"/>
      <c r="H69" s="616"/>
      <c r="I69" s="616"/>
      <c r="J69" s="616"/>
      <c r="K69" s="616"/>
      <c r="L69" s="616"/>
      <c r="M69" s="616"/>
      <c r="N69" s="616"/>
      <c r="O69" s="616"/>
      <c r="P69" s="199"/>
      <c r="Q69" s="635" t="str" cm="1">
        <f t="array" ref="Q69">demographics[rater_position]</f>
        <v>Master Teacher I</v>
      </c>
      <c r="R69" s="635"/>
      <c r="S69" s="635"/>
      <c r="T69" s="635"/>
      <c r="U69" s="635"/>
      <c r="V69" s="194"/>
      <c r="W69" s="341" t="s">
        <v>1033</v>
      </c>
      <c r="X69" s="521" t="s">
        <v>790</v>
      </c>
      <c r="Y69" s="521"/>
      <c r="Z69" s="521"/>
      <c r="AA69" s="341"/>
      <c r="AB69" s="407"/>
      <c r="AC69" s="407"/>
      <c r="AD69" s="407"/>
      <c r="AE69" s="341" t="s">
        <v>1092</v>
      </c>
      <c r="AF69" s="521" t="s">
        <v>2012</v>
      </c>
      <c r="AG69" s="521"/>
      <c r="AI69" s="47" t="b">
        <v>1</v>
      </c>
      <c r="AJ69" s="47" t="b">
        <v>1</v>
      </c>
      <c r="AK69" s="47" t="b">
        <v>1</v>
      </c>
      <c r="AL69" s="47" t="b">
        <v>1</v>
      </c>
      <c r="AM69" s="47" t="b">
        <v>1</v>
      </c>
      <c r="AN69" s="47" t="b">
        <v>1</v>
      </c>
      <c r="AO69" s="47" t="b">
        <v>1</v>
      </c>
      <c r="AP69" s="47" t="b">
        <v>1</v>
      </c>
      <c r="AQ69" s="140" t="b">
        <f ca="1">AND(NOT(ISBLANK(encoding_approver_position)),BC9)</f>
        <v>1</v>
      </c>
      <c r="AR69" s="140" t="b">
        <f ca="1">AQ69</f>
        <v>1</v>
      </c>
      <c r="AS69" s="140" t="b">
        <f ca="1">AQ69</f>
        <v>1</v>
      </c>
      <c r="AT69" s="314" t="b">
        <v>1</v>
      </c>
      <c r="AU69" s="314" t="b">
        <v>1</v>
      </c>
      <c r="AV69" s="314" t="b">
        <v>1</v>
      </c>
      <c r="AW69" s="314" t="b">
        <v>1</v>
      </c>
      <c r="AX69" s="47" t="b">
        <v>1</v>
      </c>
      <c r="AY69" s="140" t="b">
        <f>AND(NOT(ISBLANK(encoding_approver_email)),ISNUMBER(SEARCH("@deped.gov.ph",encoding_approver_email)))</f>
        <v>1</v>
      </c>
      <c r="AZ69" s="140" t="b">
        <f>AY69</f>
        <v>1</v>
      </c>
      <c r="BA69" s="154"/>
    </row>
    <row r="70" spans="1:58" ht="213" customHeight="1" thickBot="1" x14ac:dyDescent="0.3">
      <c r="M70" s="195"/>
      <c r="N70" s="195"/>
      <c r="O70" s="195"/>
      <c r="P70" s="195"/>
      <c r="Q70" s="195"/>
      <c r="R70" s="195"/>
      <c r="S70" s="195"/>
      <c r="T70" s="195"/>
      <c r="U70" s="195"/>
      <c r="V70" s="195"/>
      <c r="W70" s="195"/>
      <c r="X70" s="195"/>
      <c r="Y70" s="195"/>
      <c r="Z70" s="195"/>
      <c r="AA70" s="195"/>
      <c r="AB70" s="195"/>
      <c r="AC70" s="195"/>
      <c r="AD70" s="195"/>
      <c r="AE70" s="195"/>
      <c r="AF70" s="195"/>
      <c r="AG70" s="195"/>
      <c r="BF70" s="154"/>
    </row>
    <row r="72" spans="1:58" ht="15.6" customHeight="1" x14ac:dyDescent="0.25">
      <c r="BF72" s="154"/>
    </row>
    <row r="74" spans="1:58" ht="15.6" customHeight="1" x14ac:dyDescent="0.25">
      <c r="BF74" s="154"/>
    </row>
    <row r="76" spans="1:58" ht="15.6" customHeight="1" x14ac:dyDescent="0.25">
      <c r="BF76" s="154"/>
    </row>
    <row r="78" spans="1:58" ht="15.6" customHeight="1" x14ac:dyDescent="0.25">
      <c r="BF78" s="154"/>
    </row>
    <row r="80" spans="1:58" ht="15.6" customHeight="1" x14ac:dyDescent="0.25">
      <c r="BF80" s="154"/>
    </row>
    <row r="82" spans="58:58" ht="15.6" customHeight="1" x14ac:dyDescent="0.25">
      <c r="BF82" s="154"/>
    </row>
    <row r="84" spans="58:58" ht="15.6" customHeight="1" x14ac:dyDescent="0.25">
      <c r="BF84" s="154"/>
    </row>
    <row r="86" spans="58:58" ht="15.6" customHeight="1" x14ac:dyDescent="0.25">
      <c r="BF86" s="154"/>
    </row>
    <row r="88" spans="58:58" ht="15.6" customHeight="1" x14ac:dyDescent="0.25">
      <c r="BF88" s="154"/>
    </row>
    <row r="90" spans="58:58" ht="15.6" customHeight="1" x14ac:dyDescent="0.25">
      <c r="BF90" s="154"/>
    </row>
    <row r="92" spans="58:58" ht="15.6" customHeight="1" x14ac:dyDescent="0.25">
      <c r="BF92" s="154"/>
    </row>
    <row r="94" spans="58:58" ht="15.6" customHeight="1" x14ac:dyDescent="0.25">
      <c r="BF94" s="154"/>
    </row>
    <row r="96" spans="58:58" ht="15.6" customHeight="1" x14ac:dyDescent="0.25">
      <c r="BF96" s="154"/>
    </row>
    <row r="98" spans="58:58" ht="15.6" customHeight="1" x14ac:dyDescent="0.25">
      <c r="BF98" s="154"/>
    </row>
    <row r="100" spans="58:58" ht="15.6" customHeight="1" x14ac:dyDescent="0.25">
      <c r="BF100" s="154"/>
    </row>
    <row r="102" spans="58:58" ht="15.6" customHeight="1" x14ac:dyDescent="0.25">
      <c r="BF102" s="154"/>
    </row>
    <row r="104" spans="58:58" ht="15.6" customHeight="1" x14ac:dyDescent="0.25">
      <c r="BF104" s="154"/>
    </row>
  </sheetData>
  <sheetProtection algorithmName="SHA-512" hashValue="baH6fawuubTT3Yu20NOuSG8G+RWNCPSbTtKz/YEF6D/VoqJndcNAvaUk0m3KqA60ViFAwrXeHqgE5/qqad0FPQ==" saltValue="cqzIeFz44S6IsRplx3u2/g==" spinCount="100000" sheet="1" objects="1" scenarios="1" selectLockedCells="1"/>
  <mergeCells count="57">
    <mergeCell ref="AF63:AG63"/>
    <mergeCell ref="S64:T64"/>
    <mergeCell ref="Q68:U68"/>
    <mergeCell ref="AF19:AF21"/>
    <mergeCell ref="M19:M21"/>
    <mergeCell ref="O19:O21"/>
    <mergeCell ref="Q19:Q21"/>
    <mergeCell ref="R19:R21"/>
    <mergeCell ref="AB68:AD68"/>
    <mergeCell ref="AF68:AG68"/>
    <mergeCell ref="X68:Z68"/>
    <mergeCell ref="Y64:Z64"/>
    <mergeCell ref="Y63:Z63"/>
    <mergeCell ref="AF69:AG69"/>
    <mergeCell ref="A68:O68"/>
    <mergeCell ref="A69:O69"/>
    <mergeCell ref="W19:X19"/>
    <mergeCell ref="Y19:Z19"/>
    <mergeCell ref="AA19:AA21"/>
    <mergeCell ref="AB19:AE20"/>
    <mergeCell ref="N19:N21"/>
    <mergeCell ref="AA64:AE64"/>
    <mergeCell ref="AF64:AG64"/>
    <mergeCell ref="U64:V64"/>
    <mergeCell ref="W64:X64"/>
    <mergeCell ref="S63:T63"/>
    <mergeCell ref="U63:V63"/>
    <mergeCell ref="W63:X63"/>
    <mergeCell ref="Q69:U69"/>
    <mergeCell ref="M1:AG1"/>
    <mergeCell ref="M2:AG2"/>
    <mergeCell ref="M3:AG3"/>
    <mergeCell ref="M4:AG4"/>
    <mergeCell ref="S19:T19"/>
    <mergeCell ref="P19:P21"/>
    <mergeCell ref="AG19:AG21"/>
    <mergeCell ref="S20:T20"/>
    <mergeCell ref="U20:V20"/>
    <mergeCell ref="W20:X20"/>
    <mergeCell ref="Y20:Z20"/>
    <mergeCell ref="U19:V19"/>
    <mergeCell ref="X69:Z69"/>
    <mergeCell ref="AA63:AE63"/>
    <mergeCell ref="X9:Y9"/>
    <mergeCell ref="AB8:AG8"/>
    <mergeCell ref="Q7:U7"/>
    <mergeCell ref="Q8:U8"/>
    <mergeCell ref="Q9:U9"/>
    <mergeCell ref="X7:Z7"/>
    <mergeCell ref="X8:Z8"/>
    <mergeCell ref="AB7:AD7"/>
    <mergeCell ref="AF7:AG7"/>
    <mergeCell ref="Q10:U10"/>
    <mergeCell ref="V7:W7"/>
    <mergeCell ref="V8:W8"/>
    <mergeCell ref="V9:W9"/>
    <mergeCell ref="V10:W10"/>
  </mergeCells>
  <conditionalFormatting sqref="R22:AA62">
    <cfRule type="expression" dxfId="187" priority="4">
      <formula>AND($G22,OR($D22="NCOI",$D22=0))</formula>
    </cfRule>
  </conditionalFormatting>
  <conditionalFormatting sqref="P22:P62">
    <cfRule type="expression" dxfId="186" priority="24">
      <formula>AND($C22="COI/NCOI",$G22,NOT(PART1_locked))</formula>
    </cfRule>
  </conditionalFormatting>
  <conditionalFormatting sqref="AB22:AD62">
    <cfRule type="expression" dxfId="185" priority="23">
      <formula>AND(I22, NOT(PART1_locked))</formula>
    </cfRule>
  </conditionalFormatting>
  <conditionalFormatting sqref="AC22:AD62">
    <cfRule type="expression" dxfId="184" priority="22">
      <formula>AND($G22,NOT(J22))</formula>
    </cfRule>
  </conditionalFormatting>
  <conditionalFormatting sqref="AB22:AB62">
    <cfRule type="expression" dxfId="183" priority="21">
      <formula>AND($G22,NOT($H22))</formula>
    </cfRule>
  </conditionalFormatting>
  <conditionalFormatting sqref="S20:Z20">
    <cfRule type="expression" dxfId="182" priority="25">
      <formula>AND(S$12,S$13, NOT(PART1_locked))</formula>
    </cfRule>
  </conditionalFormatting>
  <conditionalFormatting sqref="S22:S62 U22:U62 W22:W62 Y22:Y62">
    <cfRule type="expression" dxfId="181" priority="27">
      <formula>AND(S$12,S$14,$G22,BG22,NOT(PART1_locked))</formula>
    </cfRule>
  </conditionalFormatting>
  <conditionalFormatting sqref="S63:Z63">
    <cfRule type="expression" dxfId="180" priority="20">
      <formula>AND(S$14,NOT(PART1_locked))</formula>
    </cfRule>
  </conditionalFormatting>
  <conditionalFormatting sqref="X7:X9 AF7 X68:X69 AB68 AF68:AF69 AB7:AB8">
    <cfRule type="expression" dxfId="179" priority="19">
      <formula>NOT(PART1_locked)</formula>
    </cfRule>
  </conditionalFormatting>
  <conditionalFormatting sqref="M22:M62">
    <cfRule type="expression" dxfId="178" priority="15">
      <formula>AND($F22,$B22&gt;1)</formula>
    </cfRule>
  </conditionalFormatting>
  <conditionalFormatting sqref="P7:AG69">
    <cfRule type="expression" dxfId="177" priority="17" stopIfTrue="1">
      <formula>AND(encoding_finalize_attempt,NOT(AI7))</formula>
    </cfRule>
  </conditionalFormatting>
  <conditionalFormatting sqref="A68:AB69 AE68:AF69 A20:M21 O20:CI20 A19:CI19 CJ19:XFD20 A70:AA1048576 AE70:XFD1048576 A10:XFD18 A9:AA9 A1:XFD8 AH9:XFD9 AH68:XFD69 AB69:AD1048576 O21:XFD21 A22:XFD67">
    <cfRule type="expression" dxfId="176" priority="33">
      <formula>AND(career_stage="HP", NOT(PART1_locked))</formula>
    </cfRule>
    <cfRule type="expression" dxfId="175" priority="34">
      <formula>AND(career_stage="P", NOT(PART1_locked))</formula>
    </cfRule>
    <cfRule type="expression" dxfId="174" priority="50">
      <formula>PART1_locked</formula>
    </cfRule>
  </conditionalFormatting>
  <conditionalFormatting sqref="S22:Z62">
    <cfRule type="expression" dxfId="173" priority="1">
      <formula>BP22</formula>
    </cfRule>
  </conditionalFormatting>
  <conditionalFormatting sqref="AB9:AG9">
    <cfRule type="expression" dxfId="172" priority="9">
      <formula>PART1_locked</formula>
    </cfRule>
    <cfRule type="expression" dxfId="171" priority="10">
      <formula>AND(career_stage="P", NOT(PART1_locked))</formula>
    </cfRule>
    <cfRule type="expression" dxfId="170" priority="11">
      <formula>AND(career_stage="HP", NOT(PART1_locked))</formula>
    </cfRule>
  </conditionalFormatting>
  <conditionalFormatting sqref="S22:S30">
    <cfRule type="expression" dxfId="169" priority="8">
      <formula>AND(LEFT(S$20,24)="No Classroom Observation",career_stage="P")</formula>
    </cfRule>
    <cfRule type="expression" dxfId="168" priority="13">
      <formula>AND(LEFT(S$20,24)="No Classroom Observation",career_stage="HP")</formula>
    </cfRule>
  </conditionalFormatting>
  <conditionalFormatting sqref="U22:U26 U36:U39 U47">
    <cfRule type="expression" dxfId="167" priority="7">
      <formula>AND(LEFT(U$20,24)="No Classroom Observation",career_stage="P")</formula>
    </cfRule>
    <cfRule type="expression" dxfId="166" priority="14">
      <formula>AND(LEFT(U$20,24)="No Classroom Observation",career_stage="HP")</formula>
    </cfRule>
  </conditionalFormatting>
  <conditionalFormatting sqref="W22:W30">
    <cfRule type="expression" dxfId="165" priority="3">
      <formula>AND(LEFT(W$20,24)="No Classroom Observation",career_stage="P")</formula>
    </cfRule>
    <cfRule type="expression" dxfId="164" priority="6">
      <formula>AND(LEFT(W$20,24)="No Classroom Observation",career_stage="HP")</formula>
    </cfRule>
  </conditionalFormatting>
  <conditionalFormatting sqref="Y22:Y26 Y36 Y39 Y47">
    <cfRule type="expression" dxfId="163" priority="2">
      <formula>AND(LEFT(Y$20,24)="No Classroom Observation",career_stage="P")</formula>
    </cfRule>
    <cfRule type="expression" dxfId="162" priority="5">
      <formula>AND(LEFT(Y$20,24)="No Classroom Observation",career_stage="HP")</formula>
    </cfRule>
  </conditionalFormatting>
  <dataValidations xWindow="815" yWindow="591" count="21">
    <dataValidation type="list" allowBlank="1" showDropDown="1" showInputMessage="1" showErrorMessage="1" errorTitle="Rating" error="Only a whole number from 1 to 5 is accepted for this field. If the error persists, check if the rating exists in the scoring standard for the particular objective." promptTitle="Rating" prompt="Rating must be a whole number from 1 to 5. Some rating values may not be available depending on the scoring standards." sqref="AB22:AB62 AD22:AD62" xr:uid="{5D77A374-DE7F-47B1-B0B3-BE002674ADCD}">
      <formula1>INDIRECT(CB22)</formula1>
    </dataValidation>
    <dataValidation type="whole" allowBlank="1" showInputMessage="1" showErrorMessage="1" errorTitle="Validation Error" error="Value should be between 3 to 7." prompt="Rating must be a whole number from 3 to 7" sqref="W62 S62 Y62 U62" xr:uid="{751986D1-D8AB-4891-B047-EF871745A84B}">
      <formula1>3</formula1>
      <formula2>7</formula2>
    </dataValidation>
    <dataValidation type="date" operator="greaterThan" allowBlank="1" showInputMessage="1" showErrorMessage="1" errorTitle="Invalid Date" error="Please type a valid date within the rating period. Use the following format: yyyy-mm-dd. The year must not be earlier than 2021." promptTitle="Date Observed" prompt="Type in the date when the ratee was observed._x000a_yyyy-mm-dd" sqref="S63:T63" xr:uid="{EC86633D-121F-42B4-A991-5A681B105E72}">
      <formula1>44197</formula1>
    </dataValidation>
    <dataValidation type="whole" allowBlank="1" showInputMessage="1" showErrorMessage="1" errorTitle="Validation Error" error="Value must be a whole number ranging from 3 to 7 for Proficient or 4 to 8 for Highly Proficient." prompt="Rating must be a whole number ranging from 3 to 7 for Proficient or 4 to 8 for Highly Proficient." sqref="S22:S61 U22:U61 W22:W61 Y22:Y61" xr:uid="{4156AEF4-F646-4ABC-9B8C-1B11F2903B12}">
      <formula1>_xlfn.IFS(career_stage="P",INDEX(P_COT,COUNT(P_COT)),career_stage="HP",INDEX(HP_COT,COUNT(HP_COT)))</formula1>
      <formula2>_xlfn.IFS(career_stage="P",INDEX(P_COT,1),career_stage="HP",INDEX(HP_COT,1))</formula2>
    </dataValidation>
    <dataValidation type="list" allowBlank="1" showInputMessage="1" showErrorMessage="1" errorTitle="Invalid" error="Please select from the available drop-down options." promptTitle="Subject/Strand" prompt="Select the subject/strand taught for this COT." sqref="S20:Z20" xr:uid="{E1CD94F9-649A-4200-9A1A-C96F92488E2F}">
      <formula1>IF(level_taught="Senior High School",strands_list,cotsubjects_list)</formula1>
    </dataValidation>
    <dataValidation type="date" operator="greaterThanOrEqual" allowBlank="1" showInputMessage="1" showErrorMessage="1" errorTitle="Invalid Date" error="Please type a valid date within the rating period. Use the following format: yyyy-mm-dd. The date must be later than the previous class observation (CO)." promptTitle="Date Observed" prompt="Type in the date when the ratee was observed._x000a_yyyy-mm-dd" sqref="Y63:Z63" xr:uid="{9AE699E5-F530-4EFC-BE40-81A7F959089A}">
      <formula1>$W$63</formula1>
    </dataValidation>
    <dataValidation type="list" operator="greaterThan" allowBlank="1" showInputMessage="1" showErrorMessage="1" promptTitle="Position of Approving Authority" prompt="Select from the available drop-down options." sqref="X69:Z69" xr:uid="{61F6CE9C-B1F1-4243-ACDD-33A0BB7E68A6}">
      <formula1>approvingpositions_list</formula1>
    </dataValidation>
    <dataValidation type="date" operator="greaterThan" allowBlank="1" showInputMessage="1" showErrorMessage="1" errorTitle="Invalid Date" error="Please type a valid date within the rating period. Use the following format: yyyy-mm-dd. The year must not be earlier than 2021." promptTitle="Date of Review" prompt="Type in your date of review. Use the following format: yyyy-mm-dd." sqref="X9:Y9" xr:uid="{2F020DAF-9E30-4F58-9BEC-74E054B92086}">
      <formula1>44197</formula1>
    </dataValidation>
    <dataValidation type="list" allowBlank="1" showInputMessage="1" showErrorMessage="1" promptTitle="Position of Rater" prompt="Select from the available drop-down options." sqref="X8" xr:uid="{AE500743-033E-4CBF-A405-8508AEBF8C4C}">
      <formula1>raterpositions_list</formula1>
    </dataValidation>
    <dataValidation type="list" errorStyle="warning" allowBlank="1" showInputMessage="1" showErrorMessage="1" sqref="P22:P62" xr:uid="{1D36BD30-5F6B-4999-AFA8-32942804D1C9}">
      <formula1>IF($C22="COI/NCOI",coi_ncoi,IF($C22="COI",admin_coi,IF($C22="NCOI",admin_ncoi,coi_blank)))</formula1>
    </dataValidation>
    <dataValidation type="date" operator="greaterThanOrEqual" allowBlank="1" showInputMessage="1" showErrorMessage="1" errorTitle="Invalid Date" error="Please type a valid date within the rating period. Use the following format: yyyy-mm-dd. The date must be later than the previous class observation (CO)." promptTitle="Date Observed" prompt="Type in the date when the ratee was observed._x000a_yyyy-mm-dd" sqref="W63:X63" xr:uid="{FAC05402-60BF-D240-8A78-DB07999CFE5E}">
      <formula1>$U$63</formula1>
    </dataValidation>
    <dataValidation type="date" operator="greaterThanOrEqual" allowBlank="1" showInputMessage="1" showErrorMessage="1" errorTitle="Invalid Date" error="Please type a valid date within the rating period. Use the following format: yyyy-mm-dd. The date must be later than the previous class observation (CO)." promptTitle="Date Observed" prompt="Type in the date when the ratee was observed._x000a_yyyy-mm-dd" sqref="U63:V63" xr:uid="{95E6EA37-C905-904E-82BE-86D1D4010C75}">
      <formula1>$S$63</formula1>
    </dataValidation>
    <dataValidation type="textLength" operator="greaterThanOrEqual" allowBlank="1" showInputMessage="1" showErrorMessage="1" promptTitle="Rater's Last Name" prompt="ALL CAPS:_x000a_ex: RIZAL" sqref="X7:Z7" xr:uid="{7965D8FC-9924-E242-B25E-498B8A4228C0}">
      <formula1>1</formula1>
    </dataValidation>
    <dataValidation type="textLength" operator="greaterThanOrEqual" allowBlank="1" showInputMessage="1" showErrorMessage="1" promptTitle="Rater's First Name" prompt="ALL CAPS:_x000a_ex: JOSE" sqref="AB7:AD7" xr:uid="{53CA885F-1C41-8447-936D-DC9BE5ED51F0}">
      <formula1>1</formula1>
    </dataValidation>
    <dataValidation type="textLength" operator="greaterThanOrEqual" allowBlank="1" showInputMessage="1" showErrorMessage="1" promptTitle="Rater's Middle Name" prompt="ALL CAPS:_x000a_ex: PROTASIO" sqref="AF7:AG7" xr:uid="{F027BF74-85DC-CD4D-A960-B5A0DE10BD6A}">
      <formula1>1</formula1>
    </dataValidation>
    <dataValidation allowBlank="1" showInputMessage="1" showErrorMessage="1" promptTitle="Rater's DepEd Email Address" prompt="Input the rater's DepEd Email." sqref="AB8:AG8" xr:uid="{2840D245-EDA8-9A44-8065-55A98632611D}"/>
    <dataValidation type="textLength" operator="greaterThanOrEqual" allowBlank="1" showInputMessage="1" showErrorMessage="1" promptTitle="Approving Authority's Last Name" prompt="ALL CAPS:_x000a_ex: RIZAL" sqref="X68:Z68" xr:uid="{28769C81-84AF-034C-A79D-E6E8ECDB3EB1}">
      <formula1>1</formula1>
    </dataValidation>
    <dataValidation allowBlank="1" showInputMessage="1" showErrorMessage="1" promptTitle="Approving Authority's First Name" prompt="ALL CAPS:_x000a_ex.: JOSE" sqref="AB68:AD68" xr:uid="{FAF76C52-A498-0C4E-A863-2EA927964792}"/>
    <dataValidation type="textLength" operator="greaterThanOrEqual" allowBlank="1" showInputMessage="1" showErrorMessage="1" promptTitle="Approving Authority's Middlename" prompt="ALL CAPS:_x000a_ex.: PROTASIO" sqref="AF68:AG68" xr:uid="{8A696584-105F-534F-BEF7-C2E419B2EB46}">
      <formula1>1</formula1>
    </dataValidation>
    <dataValidation allowBlank="1" showInputMessage="1" showErrorMessage="1" promptTitle="Approving Authority's DepEdEmail" prompt="Input the Approving Authority's DepEd Email" sqref="AF69:AG69" xr:uid="{2FE1BB58-3AD0-1443-B92D-E03B2687322F}"/>
    <dataValidation type="list" allowBlank="1" showDropDown="1" showInputMessage="1" showErrorMessage="1" promptTitle="Rating" prompt="For COI: Rating must be a whole number of 1, 3, or 5._x000a__x000a_For NCOI: Rating must be a whole number from 1 to 5._x000a__x000a_Some rating values may not be available depending on the scoring standards." sqref="AC22:AC62" xr:uid="{C6CF2688-9C7C-8845-824F-8B10F0567DCC}">
      <formula1>INDIRECT(CC22)</formula1>
    </dataValidation>
  </dataValidations>
  <pageMargins left="0.7" right="0.7" top="0.75" bottom="0.75" header="0.3" footer="0.3"/>
  <pageSetup scale="47" orientation="landscape" verticalDpi="300" r:id="rId1"/>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3793" r:id="rId5" name="finalizeP1">
              <controlPr defaultSize="0" print="0" autoFill="0" autoPict="0" macro="[0]!Encoding_Part1.Finalize">
                <anchor moveWithCells="1" sizeWithCells="1">
                  <from>
                    <xdr:col>21</xdr:col>
                    <xdr:colOff>609600</xdr:colOff>
                    <xdr:row>69</xdr:row>
                    <xdr:rowOff>1571625</xdr:rowOff>
                  </from>
                  <to>
                    <xdr:col>24</xdr:col>
                    <xdr:colOff>276225</xdr:colOff>
                    <xdr:row>69</xdr:row>
                    <xdr:rowOff>2400300</xdr:rowOff>
                  </to>
                </anchor>
              </controlPr>
            </control>
          </mc:Choice>
        </mc:AlternateContent>
        <mc:AlternateContent xmlns:mc="http://schemas.openxmlformats.org/markup-compatibility/2006">
          <mc:Choice Requires="x14">
            <control shapeId="33799" r:id="rId6" name="Group Box 7">
              <controlPr defaultSize="0" autoFill="0" autoPict="0">
                <anchor moveWithCells="1">
                  <from>
                    <xdr:col>12</xdr:col>
                    <xdr:colOff>914400</xdr:colOff>
                    <xdr:row>70</xdr:row>
                    <xdr:rowOff>0</xdr:rowOff>
                  </from>
                  <to>
                    <xdr:col>21</xdr:col>
                    <xdr:colOff>466725</xdr:colOff>
                    <xdr:row>80</xdr:row>
                    <xdr:rowOff>28575</xdr:rowOff>
                  </to>
                </anchor>
              </controlPr>
            </control>
          </mc:Choice>
        </mc:AlternateContent>
        <mc:AlternateContent xmlns:mc="http://schemas.openxmlformats.org/markup-compatibility/2006">
          <mc:Choice Requires="x14">
            <control shapeId="33800" r:id="rId7" name="Group Box 8">
              <controlPr defaultSize="0" autoFill="0" autoPict="0">
                <anchor moveWithCells="1">
                  <from>
                    <xdr:col>12</xdr:col>
                    <xdr:colOff>914400</xdr:colOff>
                    <xdr:row>70</xdr:row>
                    <xdr:rowOff>0</xdr:rowOff>
                  </from>
                  <to>
                    <xdr:col>21</xdr:col>
                    <xdr:colOff>466725</xdr:colOff>
                    <xdr:row>85</xdr:row>
                    <xdr:rowOff>152400</xdr:rowOff>
                  </to>
                </anchor>
              </controlPr>
            </control>
          </mc:Choice>
        </mc:AlternateContent>
        <mc:AlternateContent xmlns:mc="http://schemas.openxmlformats.org/markup-compatibility/2006">
          <mc:Choice Requires="x14">
            <control shapeId="33801" r:id="rId8" name="Group Box 9">
              <controlPr defaultSize="0" autoFill="0" autoPict="0">
                <anchor moveWithCells="1">
                  <from>
                    <xdr:col>23</xdr:col>
                    <xdr:colOff>733425</xdr:colOff>
                    <xdr:row>70</xdr:row>
                    <xdr:rowOff>0</xdr:rowOff>
                  </from>
                  <to>
                    <xdr:col>32</xdr:col>
                    <xdr:colOff>1152525</xdr:colOff>
                    <xdr:row>81</xdr:row>
                    <xdr:rowOff>76200</xdr:rowOff>
                  </to>
                </anchor>
              </controlPr>
            </control>
          </mc:Choice>
        </mc:AlternateContent>
        <mc:AlternateContent xmlns:mc="http://schemas.openxmlformats.org/markup-compatibility/2006">
          <mc:Choice Requires="x14">
            <control shapeId="33802" r:id="rId9" name="Group Box 10">
              <controlPr defaultSize="0" autoFill="0" autoPict="0">
                <anchor moveWithCells="1">
                  <from>
                    <xdr:col>23</xdr:col>
                    <xdr:colOff>733425</xdr:colOff>
                    <xdr:row>70</xdr:row>
                    <xdr:rowOff>0</xdr:rowOff>
                  </from>
                  <to>
                    <xdr:col>32</xdr:col>
                    <xdr:colOff>1171575</xdr:colOff>
                    <xdr:row>85</xdr:row>
                    <xdr:rowOff>161925</xdr:rowOff>
                  </to>
                </anchor>
              </controlPr>
            </control>
          </mc:Choice>
        </mc:AlternateContent>
        <mc:AlternateContent xmlns:mc="http://schemas.openxmlformats.org/markup-compatibility/2006">
          <mc:Choice Requires="x14">
            <control shapeId="33803" r:id="rId10" name="Group Box 11">
              <controlPr defaultSize="0" autoFill="0" autoPict="0">
                <anchor moveWithCells="1">
                  <from>
                    <xdr:col>23</xdr:col>
                    <xdr:colOff>733425</xdr:colOff>
                    <xdr:row>70</xdr:row>
                    <xdr:rowOff>0</xdr:rowOff>
                  </from>
                  <to>
                    <xdr:col>32</xdr:col>
                    <xdr:colOff>1190625</xdr:colOff>
                    <xdr:row>88</xdr:row>
                    <xdr:rowOff>85725</xdr:rowOff>
                  </to>
                </anchor>
              </controlPr>
            </control>
          </mc:Choice>
        </mc:AlternateContent>
        <mc:AlternateContent xmlns:mc="http://schemas.openxmlformats.org/markup-compatibility/2006">
          <mc:Choice Requires="x14">
            <control shapeId="33830" r:id="rId11" name="Group Box 38">
              <controlPr defaultSize="0" autoFill="0" autoPict="0">
                <anchor moveWithCells="1">
                  <from>
                    <xdr:col>12</xdr:col>
                    <xdr:colOff>914400</xdr:colOff>
                    <xdr:row>70</xdr:row>
                    <xdr:rowOff>0</xdr:rowOff>
                  </from>
                  <to>
                    <xdr:col>21</xdr:col>
                    <xdr:colOff>495300</xdr:colOff>
                    <xdr:row>88</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F2427-BF35-9F44-9D14-7A81EC3BE7C6}">
  <sheetPr codeName="Encoding_Part2">
    <pageSetUpPr fitToPage="1"/>
  </sheetPr>
  <dimension ref="A1:G88"/>
  <sheetViews>
    <sheetView showGridLines="0" topLeftCell="A30" zoomScaleNormal="100" workbookViewId="0">
      <selection activeCell="D7" sqref="D7"/>
    </sheetView>
  </sheetViews>
  <sheetFormatPr defaultColWidth="8.85546875" defaultRowHeight="15.6" customHeight="1" x14ac:dyDescent="0.25"/>
  <cols>
    <col min="1" max="1" width="4.85546875" style="47" customWidth="1"/>
    <col min="2" max="3" width="7.85546875" style="47" customWidth="1"/>
    <col min="4" max="4" width="3.42578125" style="47" customWidth="1"/>
    <col min="5" max="5" width="133.140625" style="47" customWidth="1"/>
    <col min="6" max="7" width="7.85546875" style="47" customWidth="1"/>
    <col min="8" max="16384" width="8.85546875" style="47"/>
  </cols>
  <sheetData>
    <row r="1" spans="1:7" ht="28.5" x14ac:dyDescent="0.25">
      <c r="A1" s="655" t="str">
        <f>"Official IPCRF Rating Encoding Form v"&amp;meta!$B$3</f>
        <v>Official IPCRF Rating Encoding Form v4.3</v>
      </c>
      <c r="B1" s="655"/>
      <c r="C1" s="655"/>
      <c r="D1" s="655"/>
      <c r="E1" s="655"/>
      <c r="F1" s="655"/>
      <c r="G1" s="655"/>
    </row>
    <row r="2" spans="1:7" ht="23.25" x14ac:dyDescent="0.25">
      <c r="A2" s="545" t="str">
        <f>selected_career_stage &amp; " " &amp; selected_teacher_type</f>
        <v>Proficient Regular Teacher</v>
      </c>
      <c r="B2" s="545"/>
      <c r="C2" s="545"/>
      <c r="D2" s="545"/>
      <c r="E2" s="545"/>
      <c r="F2" s="545"/>
      <c r="G2" s="545"/>
    </row>
    <row r="3" spans="1:7" ht="23.25" x14ac:dyDescent="0.25">
      <c r="A3" s="545" t="str" cm="1">
        <f t="array" ref="A3">demographics[rating_period]</f>
        <v>SY 2023-2024</v>
      </c>
      <c r="B3" s="545"/>
      <c r="C3" s="545"/>
      <c r="D3" s="545"/>
      <c r="E3" s="545"/>
      <c r="F3" s="545"/>
      <c r="G3" s="545"/>
    </row>
    <row r="5" spans="1:7" ht="23.25" x14ac:dyDescent="0.35">
      <c r="B5" s="267" t="s">
        <v>1093</v>
      </c>
    </row>
    <row r="10" spans="1:7" ht="19.5" customHeight="1" x14ac:dyDescent="0.3">
      <c r="C10" s="268" t="s">
        <v>1094</v>
      </c>
    </row>
    <row r="11" spans="1:7" ht="15.6" customHeight="1" thickBot="1" x14ac:dyDescent="0.3"/>
    <row r="12" spans="1:7" ht="50.1" customHeight="1" x14ac:dyDescent="0.25">
      <c r="B12" s="74"/>
      <c r="C12" s="269"/>
      <c r="D12" s="270">
        <v>1</v>
      </c>
      <c r="E12" s="271" t="s">
        <v>1095</v>
      </c>
    </row>
    <row r="13" spans="1:7" ht="50.1" customHeight="1" x14ac:dyDescent="0.25">
      <c r="B13" s="148"/>
      <c r="C13" s="272"/>
      <c r="D13" s="273">
        <v>2</v>
      </c>
      <c r="E13" s="274" t="s">
        <v>1096</v>
      </c>
    </row>
    <row r="14" spans="1:7" ht="50.1" customHeight="1" x14ac:dyDescent="0.25">
      <c r="B14" s="148"/>
      <c r="C14" s="272"/>
      <c r="D14" s="273">
        <v>3</v>
      </c>
      <c r="E14" s="275" t="s">
        <v>1097</v>
      </c>
    </row>
    <row r="15" spans="1:7" ht="50.1" customHeight="1" x14ac:dyDescent="0.25">
      <c r="B15" s="148"/>
      <c r="C15" s="272"/>
      <c r="D15" s="273">
        <v>4</v>
      </c>
      <c r="E15" s="275" t="s">
        <v>1098</v>
      </c>
    </row>
    <row r="16" spans="1:7" ht="50.1" customHeight="1" thickBot="1" x14ac:dyDescent="0.3">
      <c r="B16" s="148"/>
      <c r="C16" s="276"/>
      <c r="D16" s="277">
        <v>5</v>
      </c>
      <c r="E16" s="278" t="s">
        <v>1099</v>
      </c>
    </row>
    <row r="17" spans="2:5" ht="30.95" customHeight="1" x14ac:dyDescent="0.25"/>
    <row r="18" spans="2:5" ht="30.95" customHeight="1" x14ac:dyDescent="0.3">
      <c r="C18" s="268" t="s">
        <v>1100</v>
      </c>
    </row>
    <row r="19" spans="2:5" ht="15.6" customHeight="1" thickBot="1" x14ac:dyDescent="0.3"/>
    <row r="20" spans="2:5" ht="50.1" customHeight="1" x14ac:dyDescent="0.25">
      <c r="B20" s="148"/>
      <c r="C20" s="279"/>
      <c r="D20" s="280">
        <v>1</v>
      </c>
      <c r="E20" s="281" t="s">
        <v>1101</v>
      </c>
    </row>
    <row r="21" spans="2:5" ht="50.1" customHeight="1" x14ac:dyDescent="0.25">
      <c r="B21" s="148"/>
      <c r="C21" s="272"/>
      <c r="D21" s="282">
        <v>2</v>
      </c>
      <c r="E21" s="283" t="s">
        <v>1102</v>
      </c>
    </row>
    <row r="22" spans="2:5" ht="50.1" customHeight="1" x14ac:dyDescent="0.25">
      <c r="B22" s="148"/>
      <c r="C22" s="272"/>
      <c r="D22" s="282">
        <v>3</v>
      </c>
      <c r="E22" s="284" t="s">
        <v>1103</v>
      </c>
    </row>
    <row r="23" spans="2:5" ht="50.1" customHeight="1" x14ac:dyDescent="0.25">
      <c r="B23" s="65"/>
      <c r="C23" s="272"/>
      <c r="D23" s="282">
        <v>4</v>
      </c>
      <c r="E23" s="284" t="s">
        <v>1104</v>
      </c>
    </row>
    <row r="24" spans="2:5" ht="50.1" customHeight="1" thickBot="1" x14ac:dyDescent="0.3">
      <c r="B24" s="65"/>
      <c r="C24" s="276"/>
      <c r="D24" s="285">
        <v>5</v>
      </c>
      <c r="E24" s="286" t="s">
        <v>1105</v>
      </c>
    </row>
    <row r="25" spans="2:5" ht="30.95" customHeight="1" x14ac:dyDescent="0.25">
      <c r="B25" s="65"/>
    </row>
    <row r="26" spans="2:5" ht="30.95" customHeight="1" x14ac:dyDescent="0.3">
      <c r="C26" s="268" t="s">
        <v>1106</v>
      </c>
    </row>
    <row r="27" spans="2:5" ht="15.6" customHeight="1" thickBot="1" x14ac:dyDescent="0.3"/>
    <row r="28" spans="2:5" ht="50.1" customHeight="1" x14ac:dyDescent="0.25">
      <c r="B28" s="148"/>
      <c r="C28" s="279"/>
      <c r="D28" s="280">
        <v>1</v>
      </c>
      <c r="E28" s="287" t="s">
        <v>1107</v>
      </c>
    </row>
    <row r="29" spans="2:5" ht="50.1" customHeight="1" x14ac:dyDescent="0.25">
      <c r="B29" s="148"/>
      <c r="C29" s="272"/>
      <c r="D29" s="282">
        <v>2</v>
      </c>
      <c r="E29" s="283" t="s">
        <v>1108</v>
      </c>
    </row>
    <row r="30" spans="2:5" ht="50.1" customHeight="1" x14ac:dyDescent="0.25">
      <c r="B30" s="148"/>
      <c r="C30" s="272"/>
      <c r="D30" s="282">
        <v>3</v>
      </c>
      <c r="E30" s="283" t="s">
        <v>1109</v>
      </c>
    </row>
    <row r="31" spans="2:5" ht="50.1" customHeight="1" x14ac:dyDescent="0.25">
      <c r="B31" s="148"/>
      <c r="C31" s="272"/>
      <c r="D31" s="282">
        <v>4</v>
      </c>
      <c r="E31" s="283" t="s">
        <v>1110</v>
      </c>
    </row>
    <row r="32" spans="2:5" ht="50.1" customHeight="1" thickBot="1" x14ac:dyDescent="0.3">
      <c r="B32" s="148"/>
      <c r="C32" s="276"/>
      <c r="D32" s="285">
        <v>5</v>
      </c>
      <c r="E32" s="286" t="s">
        <v>1111</v>
      </c>
    </row>
    <row r="33" spans="2:5" ht="30.95" customHeight="1" x14ac:dyDescent="0.25">
      <c r="B33" s="65"/>
    </row>
    <row r="34" spans="2:5" ht="30.95" customHeight="1" x14ac:dyDescent="0.3">
      <c r="C34" s="268" t="s">
        <v>1112</v>
      </c>
    </row>
    <row r="35" spans="2:5" ht="15.6" customHeight="1" thickBot="1" x14ac:dyDescent="0.3"/>
    <row r="36" spans="2:5" ht="50.1" customHeight="1" x14ac:dyDescent="0.25">
      <c r="B36" s="148"/>
      <c r="C36" s="279"/>
      <c r="D36" s="280">
        <v>1</v>
      </c>
      <c r="E36" s="287" t="s">
        <v>1113</v>
      </c>
    </row>
    <row r="37" spans="2:5" ht="50.1" customHeight="1" x14ac:dyDescent="0.25">
      <c r="B37" s="148"/>
      <c r="C37" s="272"/>
      <c r="D37" s="282">
        <v>2</v>
      </c>
      <c r="E37" s="283" t="s">
        <v>1114</v>
      </c>
    </row>
    <row r="38" spans="2:5" ht="50.1" customHeight="1" x14ac:dyDescent="0.25">
      <c r="B38" s="148"/>
      <c r="C38" s="272"/>
      <c r="D38" s="282">
        <v>3</v>
      </c>
      <c r="E38" s="283" t="s">
        <v>1115</v>
      </c>
    </row>
    <row r="39" spans="2:5" ht="50.1" customHeight="1" x14ac:dyDescent="0.25">
      <c r="B39" s="148"/>
      <c r="C39" s="272"/>
      <c r="D39" s="282">
        <v>4</v>
      </c>
      <c r="E39" s="283" t="s">
        <v>1116</v>
      </c>
    </row>
    <row r="40" spans="2:5" ht="50.1" customHeight="1" thickBot="1" x14ac:dyDescent="0.3">
      <c r="B40" s="148"/>
      <c r="C40" s="276"/>
      <c r="D40" s="285">
        <v>5</v>
      </c>
      <c r="E40" s="286" t="s">
        <v>1117</v>
      </c>
    </row>
    <row r="41" spans="2:5" ht="30.95" customHeight="1" x14ac:dyDescent="0.25">
      <c r="B41" s="65"/>
    </row>
    <row r="42" spans="2:5" ht="30.95" customHeight="1" x14ac:dyDescent="0.3">
      <c r="C42" s="268" t="s">
        <v>1118</v>
      </c>
    </row>
    <row r="43" spans="2:5" ht="15.6" customHeight="1" thickBot="1" x14ac:dyDescent="0.3"/>
    <row r="44" spans="2:5" ht="50.1" customHeight="1" x14ac:dyDescent="0.25">
      <c r="B44" s="148"/>
      <c r="C44" s="279"/>
      <c r="D44" s="280">
        <v>1</v>
      </c>
      <c r="E44" s="287" t="s">
        <v>1119</v>
      </c>
    </row>
    <row r="45" spans="2:5" ht="50.1" customHeight="1" x14ac:dyDescent="0.25">
      <c r="B45" s="148"/>
      <c r="C45" s="272"/>
      <c r="D45" s="282">
        <v>2</v>
      </c>
      <c r="E45" s="283" t="s">
        <v>1120</v>
      </c>
    </row>
    <row r="46" spans="2:5" ht="50.1" customHeight="1" x14ac:dyDescent="0.25">
      <c r="B46" s="148"/>
      <c r="C46" s="272"/>
      <c r="D46" s="282">
        <v>3</v>
      </c>
      <c r="E46" s="283" t="s">
        <v>1121</v>
      </c>
    </row>
    <row r="47" spans="2:5" ht="50.1" customHeight="1" x14ac:dyDescent="0.25">
      <c r="B47" s="148"/>
      <c r="C47" s="272"/>
      <c r="D47" s="282">
        <v>4</v>
      </c>
      <c r="E47" s="283" t="s">
        <v>1122</v>
      </c>
    </row>
    <row r="48" spans="2:5" ht="50.1" customHeight="1" thickBot="1" x14ac:dyDescent="0.3">
      <c r="B48" s="148"/>
      <c r="C48" s="276"/>
      <c r="D48" s="285">
        <v>5</v>
      </c>
      <c r="E48" s="286" t="s">
        <v>1123</v>
      </c>
    </row>
    <row r="49" spans="2:5" ht="30.95" customHeight="1" x14ac:dyDescent="0.25">
      <c r="B49" s="65"/>
    </row>
    <row r="50" spans="2:5" ht="30.95" customHeight="1" x14ac:dyDescent="0.3">
      <c r="C50" s="268" t="s">
        <v>1124</v>
      </c>
    </row>
    <row r="51" spans="2:5" ht="15.6" customHeight="1" thickBot="1" x14ac:dyDescent="0.3"/>
    <row r="52" spans="2:5" ht="50.1" customHeight="1" x14ac:dyDescent="0.25">
      <c r="B52" s="148"/>
      <c r="C52" s="279"/>
      <c r="D52" s="280">
        <v>1</v>
      </c>
      <c r="E52" s="281" t="s">
        <v>1125</v>
      </c>
    </row>
    <row r="53" spans="2:5" ht="50.1" customHeight="1" x14ac:dyDescent="0.25">
      <c r="B53" s="148"/>
      <c r="C53" s="272"/>
      <c r="D53" s="282">
        <v>2</v>
      </c>
      <c r="E53" s="283" t="s">
        <v>1126</v>
      </c>
    </row>
    <row r="54" spans="2:5" ht="50.1" customHeight="1" x14ac:dyDescent="0.25">
      <c r="B54" s="148"/>
      <c r="C54" s="272"/>
      <c r="D54" s="282">
        <v>3</v>
      </c>
      <c r="E54" s="283" t="s">
        <v>1127</v>
      </c>
    </row>
    <row r="55" spans="2:5" ht="50.1" customHeight="1" x14ac:dyDescent="0.25">
      <c r="B55" s="148"/>
      <c r="C55" s="272"/>
      <c r="D55" s="282">
        <v>4</v>
      </c>
      <c r="E55" s="283" t="s">
        <v>1128</v>
      </c>
    </row>
    <row r="56" spans="2:5" ht="50.1" customHeight="1" thickBot="1" x14ac:dyDescent="0.3">
      <c r="B56" s="148"/>
      <c r="C56" s="276"/>
      <c r="D56" s="285">
        <v>5</v>
      </c>
      <c r="E56" s="286" t="s">
        <v>1129</v>
      </c>
    </row>
    <row r="57" spans="2:5" ht="15.6" customHeight="1" x14ac:dyDescent="0.25">
      <c r="B57" s="65"/>
    </row>
    <row r="58" spans="2:5" ht="140.1" customHeight="1" x14ac:dyDescent="0.25">
      <c r="B58" s="65"/>
    </row>
    <row r="59" spans="2:5" ht="15.6" hidden="1" customHeight="1" x14ac:dyDescent="0.25">
      <c r="B59" s="65"/>
      <c r="C59" s="78" t="b">
        <v>1</v>
      </c>
      <c r="D59" s="288" t="s">
        <v>1130</v>
      </c>
      <c r="E59" s="47" t="s">
        <v>1131</v>
      </c>
    </row>
    <row r="60" spans="2:5" ht="15.6" hidden="1" customHeight="1" x14ac:dyDescent="0.25">
      <c r="B60" s="65"/>
      <c r="C60" s="78" t="b">
        <v>1</v>
      </c>
      <c r="D60" s="288" t="s">
        <v>1132</v>
      </c>
      <c r="E60" s="47" t="s">
        <v>1131</v>
      </c>
    </row>
    <row r="61" spans="2:5" ht="15.6" hidden="1" customHeight="1" x14ac:dyDescent="0.25">
      <c r="B61" s="65"/>
      <c r="C61" s="78" t="b">
        <v>1</v>
      </c>
      <c r="D61" s="288" t="s">
        <v>1133</v>
      </c>
      <c r="E61" s="47" t="s">
        <v>1131</v>
      </c>
    </row>
    <row r="62" spans="2:5" ht="15.6" hidden="1" customHeight="1" x14ac:dyDescent="0.25">
      <c r="B62" s="65"/>
      <c r="C62" s="78" t="b">
        <v>1</v>
      </c>
      <c r="D62" s="288" t="s">
        <v>1134</v>
      </c>
      <c r="E62" s="47" t="s">
        <v>1131</v>
      </c>
    </row>
    <row r="63" spans="2:5" ht="15.6" hidden="1" customHeight="1" x14ac:dyDescent="0.25">
      <c r="B63" s="65"/>
      <c r="C63" s="78" t="b">
        <v>1</v>
      </c>
      <c r="D63" s="288" t="s">
        <v>1135</v>
      </c>
      <c r="E63" s="47" t="s">
        <v>1131</v>
      </c>
    </row>
    <row r="64" spans="2:5" ht="15.6" hidden="1" customHeight="1" x14ac:dyDescent="0.25">
      <c r="B64" s="65"/>
      <c r="C64" s="78" t="b">
        <v>1</v>
      </c>
      <c r="D64" s="288" t="s">
        <v>1136</v>
      </c>
      <c r="E64" s="47" t="s">
        <v>1137</v>
      </c>
    </row>
    <row r="65" spans="2:5" ht="15.6" hidden="1" customHeight="1" x14ac:dyDescent="0.25">
      <c r="B65" s="65"/>
      <c r="C65" s="78" t="b">
        <v>1</v>
      </c>
      <c r="D65" s="288" t="s">
        <v>1138</v>
      </c>
      <c r="E65" s="47" t="s">
        <v>1137</v>
      </c>
    </row>
    <row r="66" spans="2:5" ht="15.6" hidden="1" customHeight="1" x14ac:dyDescent="0.25">
      <c r="B66" s="65"/>
      <c r="C66" s="78" t="b">
        <v>1</v>
      </c>
      <c r="D66" s="288" t="s">
        <v>1139</v>
      </c>
      <c r="E66" s="47" t="s">
        <v>1137</v>
      </c>
    </row>
    <row r="67" spans="2:5" ht="15.6" hidden="1" customHeight="1" x14ac:dyDescent="0.25">
      <c r="B67" s="65"/>
      <c r="C67" s="78" t="b">
        <v>0</v>
      </c>
      <c r="D67" s="288" t="s">
        <v>1140</v>
      </c>
      <c r="E67" s="47" t="s">
        <v>1137</v>
      </c>
    </row>
    <row r="68" spans="2:5" ht="15.6" hidden="1" customHeight="1" x14ac:dyDescent="0.25">
      <c r="B68" s="65"/>
      <c r="C68" s="78" t="b">
        <v>1</v>
      </c>
      <c r="D68" s="288" t="s">
        <v>1141</v>
      </c>
      <c r="E68" s="47" t="s">
        <v>1137</v>
      </c>
    </row>
    <row r="69" spans="2:5" ht="15.6" hidden="1" customHeight="1" x14ac:dyDescent="0.25">
      <c r="B69" s="65"/>
      <c r="C69" s="78" t="b">
        <v>1</v>
      </c>
      <c r="D69" s="288" t="s">
        <v>1142</v>
      </c>
      <c r="E69" s="47" t="s">
        <v>1143</v>
      </c>
    </row>
    <row r="70" spans="2:5" ht="15.6" hidden="1" customHeight="1" x14ac:dyDescent="0.25">
      <c r="B70" s="65"/>
      <c r="C70" s="78" t="b">
        <v>0</v>
      </c>
      <c r="D70" s="288" t="s">
        <v>1144</v>
      </c>
      <c r="E70" s="47" t="s">
        <v>1143</v>
      </c>
    </row>
    <row r="71" spans="2:5" ht="15.6" hidden="1" customHeight="1" x14ac:dyDescent="0.25">
      <c r="B71" s="65"/>
      <c r="C71" s="78" t="b">
        <v>1</v>
      </c>
      <c r="D71" s="288" t="s">
        <v>1145</v>
      </c>
      <c r="E71" s="47" t="s">
        <v>1143</v>
      </c>
    </row>
    <row r="72" spans="2:5" ht="15.6" hidden="1" customHeight="1" x14ac:dyDescent="0.25">
      <c r="B72" s="65"/>
      <c r="C72" s="78" t="b">
        <v>1</v>
      </c>
      <c r="D72" s="288" t="s">
        <v>1146</v>
      </c>
      <c r="E72" s="47" t="s">
        <v>1143</v>
      </c>
    </row>
    <row r="73" spans="2:5" ht="15.6" hidden="1" customHeight="1" x14ac:dyDescent="0.25">
      <c r="B73" s="65"/>
      <c r="C73" s="78" t="b">
        <v>1</v>
      </c>
      <c r="D73" s="288" t="s">
        <v>1147</v>
      </c>
      <c r="E73" s="47" t="s">
        <v>1143</v>
      </c>
    </row>
    <row r="74" spans="2:5" ht="15.6" hidden="1" customHeight="1" x14ac:dyDescent="0.25">
      <c r="B74" s="65"/>
      <c r="C74" s="78" t="b">
        <v>1</v>
      </c>
      <c r="D74" s="288" t="s">
        <v>1148</v>
      </c>
      <c r="E74" s="47" t="s">
        <v>1149</v>
      </c>
    </row>
    <row r="75" spans="2:5" ht="15.6" hidden="1" customHeight="1" x14ac:dyDescent="0.25">
      <c r="B75" s="65"/>
      <c r="C75" s="78" t="b">
        <v>1</v>
      </c>
      <c r="D75" s="288" t="s">
        <v>1150</v>
      </c>
      <c r="E75" s="47" t="s">
        <v>1149</v>
      </c>
    </row>
    <row r="76" spans="2:5" ht="15.6" hidden="1" customHeight="1" x14ac:dyDescent="0.25">
      <c r="B76" s="65"/>
      <c r="C76" s="78" t="b">
        <v>0</v>
      </c>
      <c r="D76" s="288" t="s">
        <v>1151</v>
      </c>
      <c r="E76" s="47" t="s">
        <v>1149</v>
      </c>
    </row>
    <row r="77" spans="2:5" ht="15.6" hidden="1" customHeight="1" x14ac:dyDescent="0.25">
      <c r="B77" s="65"/>
      <c r="C77" s="78" t="b">
        <v>1</v>
      </c>
      <c r="D77" s="288" t="s">
        <v>1152</v>
      </c>
      <c r="E77" s="47" t="s">
        <v>1149</v>
      </c>
    </row>
    <row r="78" spans="2:5" ht="15.6" hidden="1" customHeight="1" x14ac:dyDescent="0.25">
      <c r="C78" s="78" t="b">
        <v>1</v>
      </c>
      <c r="D78" s="288" t="s">
        <v>1153</v>
      </c>
      <c r="E78" s="47" t="s">
        <v>1149</v>
      </c>
    </row>
    <row r="79" spans="2:5" ht="15.6" hidden="1" customHeight="1" x14ac:dyDescent="0.25">
      <c r="C79" s="78" t="b">
        <v>1</v>
      </c>
      <c r="D79" s="288" t="s">
        <v>1154</v>
      </c>
      <c r="E79" s="47" t="s">
        <v>1155</v>
      </c>
    </row>
    <row r="80" spans="2:5" ht="15.6" hidden="1" customHeight="1" x14ac:dyDescent="0.25">
      <c r="C80" s="78" t="b">
        <v>1</v>
      </c>
      <c r="D80" s="288" t="s">
        <v>1156</v>
      </c>
      <c r="E80" s="47" t="s">
        <v>1155</v>
      </c>
    </row>
    <row r="81" spans="3:5" ht="15.6" hidden="1" customHeight="1" x14ac:dyDescent="0.25">
      <c r="C81" s="78" t="b">
        <v>1</v>
      </c>
      <c r="D81" s="288" t="s">
        <v>1157</v>
      </c>
      <c r="E81" s="47" t="s">
        <v>1155</v>
      </c>
    </row>
    <row r="82" spans="3:5" ht="15.6" hidden="1" customHeight="1" x14ac:dyDescent="0.25">
      <c r="C82" s="78" t="b">
        <v>1</v>
      </c>
      <c r="D82" s="288" t="s">
        <v>1158</v>
      </c>
      <c r="E82" s="47" t="s">
        <v>1155</v>
      </c>
    </row>
    <row r="83" spans="3:5" ht="15.6" hidden="1" customHeight="1" x14ac:dyDescent="0.25">
      <c r="C83" s="78" t="b">
        <v>1</v>
      </c>
      <c r="D83" s="288" t="s">
        <v>1159</v>
      </c>
      <c r="E83" s="47" t="s">
        <v>1155</v>
      </c>
    </row>
    <row r="84" spans="3:5" ht="15.6" hidden="1" customHeight="1" x14ac:dyDescent="0.25">
      <c r="C84" s="78" t="b">
        <v>1</v>
      </c>
      <c r="D84" s="288" t="s">
        <v>1160</v>
      </c>
      <c r="E84" s="47" t="s">
        <v>1161</v>
      </c>
    </row>
    <row r="85" spans="3:5" ht="15.6" hidden="1" customHeight="1" x14ac:dyDescent="0.25">
      <c r="C85" s="78" t="b">
        <v>1</v>
      </c>
      <c r="D85" s="288" t="s">
        <v>1162</v>
      </c>
      <c r="E85" s="47" t="s">
        <v>1161</v>
      </c>
    </row>
    <row r="86" spans="3:5" ht="15.6" hidden="1" customHeight="1" x14ac:dyDescent="0.25">
      <c r="C86" s="78" t="b">
        <v>1</v>
      </c>
      <c r="D86" s="288" t="s">
        <v>1163</v>
      </c>
      <c r="E86" s="47" t="s">
        <v>1161</v>
      </c>
    </row>
    <row r="87" spans="3:5" ht="15.6" hidden="1" customHeight="1" x14ac:dyDescent="0.25">
      <c r="C87" s="78" t="b">
        <v>1</v>
      </c>
      <c r="D87" s="288" t="s">
        <v>1164</v>
      </c>
      <c r="E87" s="47" t="s">
        <v>1161</v>
      </c>
    </row>
    <row r="88" spans="3:5" ht="15.6" hidden="1" customHeight="1" x14ac:dyDescent="0.25">
      <c r="C88" s="78" t="b">
        <v>1</v>
      </c>
      <c r="D88" s="288" t="s">
        <v>1165</v>
      </c>
      <c r="E88" s="47" t="s">
        <v>1161</v>
      </c>
    </row>
  </sheetData>
  <sheetProtection algorithmName="SHA-512" hashValue="6VU6HgDf9VaRNZ1BYeyda0bcSW2VvY3y5jgAdWgi4qHHmKUehD9UjVM+Mz+aqN7lB72lM3smybMUJn4Rr8zVSQ==" saltValue="aEDPLIe5DQiiIlXt52kuvQ==" spinCount="100000" sheet="1" objects="1" scenarios="1" selectLockedCells="1" selectUnlockedCells="1"/>
  <mergeCells count="3">
    <mergeCell ref="A1:G1"/>
    <mergeCell ref="A2:G2"/>
    <mergeCell ref="A3:G3"/>
  </mergeCells>
  <conditionalFormatting sqref="D12:E16 D20:E24 D28:E32 D36:E40 D44:E48 D52:E56">
    <cfRule type="expression" dxfId="161" priority="4" stopIfTrue="1">
      <formula>TRUE</formula>
    </cfRule>
  </conditionalFormatting>
  <conditionalFormatting sqref="A1:XFD1048576">
    <cfRule type="expression" dxfId="160" priority="1" stopIfTrue="1">
      <formula>PART2_locked</formula>
    </cfRule>
    <cfRule type="expression" dxfId="159" priority="5">
      <formula>career_stage="HP"</formula>
    </cfRule>
    <cfRule type="expression" dxfId="158" priority="6">
      <formula>career_stage="P"</formula>
    </cfRule>
  </conditionalFormatting>
  <pageMargins left="0.7" right="0.7" top="0.75" bottom="0.75" header="0.3" footer="0.3"/>
  <pageSetup scale="68"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1">
              <controlPr defaultSize="0" autoFill="0" autoLine="0" autoPict="0">
                <anchor moveWithCells="1">
                  <from>
                    <xdr:col>2</xdr:col>
                    <xdr:colOff>142875</xdr:colOff>
                    <xdr:row>11</xdr:row>
                    <xdr:rowOff>0</xdr:rowOff>
                  </from>
                  <to>
                    <xdr:col>4</xdr:col>
                    <xdr:colOff>0</xdr:colOff>
                    <xdr:row>11</xdr:row>
                    <xdr:rowOff>381000</xdr:rowOff>
                  </to>
                </anchor>
              </controlPr>
            </control>
          </mc:Choice>
        </mc:AlternateContent>
        <mc:AlternateContent xmlns:mc="http://schemas.openxmlformats.org/markup-compatibility/2006">
          <mc:Choice Requires="x14">
            <control shapeId="167938" r:id="rId5" name="Check Box 2">
              <controlPr defaultSize="0" autoFill="0" autoLine="0" autoPict="0">
                <anchor moveWithCells="1">
                  <from>
                    <xdr:col>2</xdr:col>
                    <xdr:colOff>142875</xdr:colOff>
                    <xdr:row>12</xdr:row>
                    <xdr:rowOff>0</xdr:rowOff>
                  </from>
                  <to>
                    <xdr:col>4</xdr:col>
                    <xdr:colOff>0</xdr:colOff>
                    <xdr:row>12</xdr:row>
                    <xdr:rowOff>381000</xdr:rowOff>
                  </to>
                </anchor>
              </controlPr>
            </control>
          </mc:Choice>
        </mc:AlternateContent>
        <mc:AlternateContent xmlns:mc="http://schemas.openxmlformats.org/markup-compatibility/2006">
          <mc:Choice Requires="x14">
            <control shapeId="167939" r:id="rId6" name="Check Box 3">
              <controlPr defaultSize="0" autoFill="0" autoLine="0" autoPict="0">
                <anchor moveWithCells="1">
                  <from>
                    <xdr:col>2</xdr:col>
                    <xdr:colOff>142875</xdr:colOff>
                    <xdr:row>13</xdr:row>
                    <xdr:rowOff>0</xdr:rowOff>
                  </from>
                  <to>
                    <xdr:col>4</xdr:col>
                    <xdr:colOff>0</xdr:colOff>
                    <xdr:row>13</xdr:row>
                    <xdr:rowOff>381000</xdr:rowOff>
                  </to>
                </anchor>
              </controlPr>
            </control>
          </mc:Choice>
        </mc:AlternateContent>
        <mc:AlternateContent xmlns:mc="http://schemas.openxmlformats.org/markup-compatibility/2006">
          <mc:Choice Requires="x14">
            <control shapeId="167940" r:id="rId7" name="Check Box 4">
              <controlPr defaultSize="0" autoFill="0" autoLine="0" autoPict="0">
                <anchor moveWithCells="1">
                  <from>
                    <xdr:col>2</xdr:col>
                    <xdr:colOff>142875</xdr:colOff>
                    <xdr:row>14</xdr:row>
                    <xdr:rowOff>0</xdr:rowOff>
                  </from>
                  <to>
                    <xdr:col>4</xdr:col>
                    <xdr:colOff>0</xdr:colOff>
                    <xdr:row>14</xdr:row>
                    <xdr:rowOff>381000</xdr:rowOff>
                  </to>
                </anchor>
              </controlPr>
            </control>
          </mc:Choice>
        </mc:AlternateContent>
        <mc:AlternateContent xmlns:mc="http://schemas.openxmlformats.org/markup-compatibility/2006">
          <mc:Choice Requires="x14">
            <control shapeId="167941" r:id="rId8" name="Check Box 5">
              <controlPr defaultSize="0" autoFill="0" autoLine="0" autoPict="0">
                <anchor moveWithCells="1">
                  <from>
                    <xdr:col>2</xdr:col>
                    <xdr:colOff>142875</xdr:colOff>
                    <xdr:row>15</xdr:row>
                    <xdr:rowOff>0</xdr:rowOff>
                  </from>
                  <to>
                    <xdr:col>4</xdr:col>
                    <xdr:colOff>0</xdr:colOff>
                    <xdr:row>15</xdr:row>
                    <xdr:rowOff>381000</xdr:rowOff>
                  </to>
                </anchor>
              </controlPr>
            </control>
          </mc:Choice>
        </mc:AlternateContent>
        <mc:AlternateContent xmlns:mc="http://schemas.openxmlformats.org/markup-compatibility/2006">
          <mc:Choice Requires="x14">
            <control shapeId="167942" r:id="rId9" name="Check Box 6">
              <controlPr defaultSize="0" autoFill="0" autoLine="0" autoPict="0">
                <anchor moveWithCells="1">
                  <from>
                    <xdr:col>2</xdr:col>
                    <xdr:colOff>142875</xdr:colOff>
                    <xdr:row>19</xdr:row>
                    <xdr:rowOff>0</xdr:rowOff>
                  </from>
                  <to>
                    <xdr:col>4</xdr:col>
                    <xdr:colOff>0</xdr:colOff>
                    <xdr:row>19</xdr:row>
                    <xdr:rowOff>381000</xdr:rowOff>
                  </to>
                </anchor>
              </controlPr>
            </control>
          </mc:Choice>
        </mc:AlternateContent>
        <mc:AlternateContent xmlns:mc="http://schemas.openxmlformats.org/markup-compatibility/2006">
          <mc:Choice Requires="x14">
            <control shapeId="167943" r:id="rId10" name="Check Box 7">
              <controlPr defaultSize="0" autoFill="0" autoLine="0" autoPict="0">
                <anchor moveWithCells="1">
                  <from>
                    <xdr:col>2</xdr:col>
                    <xdr:colOff>142875</xdr:colOff>
                    <xdr:row>20</xdr:row>
                    <xdr:rowOff>0</xdr:rowOff>
                  </from>
                  <to>
                    <xdr:col>4</xdr:col>
                    <xdr:colOff>0</xdr:colOff>
                    <xdr:row>20</xdr:row>
                    <xdr:rowOff>381000</xdr:rowOff>
                  </to>
                </anchor>
              </controlPr>
            </control>
          </mc:Choice>
        </mc:AlternateContent>
        <mc:AlternateContent xmlns:mc="http://schemas.openxmlformats.org/markup-compatibility/2006">
          <mc:Choice Requires="x14">
            <control shapeId="167944" r:id="rId11" name="Check Box 8">
              <controlPr defaultSize="0" autoFill="0" autoLine="0" autoPict="0">
                <anchor moveWithCells="1">
                  <from>
                    <xdr:col>2</xdr:col>
                    <xdr:colOff>142875</xdr:colOff>
                    <xdr:row>21</xdr:row>
                    <xdr:rowOff>0</xdr:rowOff>
                  </from>
                  <to>
                    <xdr:col>4</xdr:col>
                    <xdr:colOff>0</xdr:colOff>
                    <xdr:row>21</xdr:row>
                    <xdr:rowOff>381000</xdr:rowOff>
                  </to>
                </anchor>
              </controlPr>
            </control>
          </mc:Choice>
        </mc:AlternateContent>
        <mc:AlternateContent xmlns:mc="http://schemas.openxmlformats.org/markup-compatibility/2006">
          <mc:Choice Requires="x14">
            <control shapeId="167945" r:id="rId12" name="Check Box 9">
              <controlPr defaultSize="0" autoFill="0" autoLine="0" autoPict="0">
                <anchor moveWithCells="1">
                  <from>
                    <xdr:col>2</xdr:col>
                    <xdr:colOff>142875</xdr:colOff>
                    <xdr:row>22</xdr:row>
                    <xdr:rowOff>0</xdr:rowOff>
                  </from>
                  <to>
                    <xdr:col>4</xdr:col>
                    <xdr:colOff>0</xdr:colOff>
                    <xdr:row>22</xdr:row>
                    <xdr:rowOff>381000</xdr:rowOff>
                  </to>
                </anchor>
              </controlPr>
            </control>
          </mc:Choice>
        </mc:AlternateContent>
        <mc:AlternateContent xmlns:mc="http://schemas.openxmlformats.org/markup-compatibility/2006">
          <mc:Choice Requires="x14">
            <control shapeId="167946" r:id="rId13" name="Check Box 10">
              <controlPr defaultSize="0" autoFill="0" autoLine="0" autoPict="0">
                <anchor moveWithCells="1">
                  <from>
                    <xdr:col>2</xdr:col>
                    <xdr:colOff>142875</xdr:colOff>
                    <xdr:row>23</xdr:row>
                    <xdr:rowOff>0</xdr:rowOff>
                  </from>
                  <to>
                    <xdr:col>4</xdr:col>
                    <xdr:colOff>0</xdr:colOff>
                    <xdr:row>23</xdr:row>
                    <xdr:rowOff>381000</xdr:rowOff>
                  </to>
                </anchor>
              </controlPr>
            </control>
          </mc:Choice>
        </mc:AlternateContent>
        <mc:AlternateContent xmlns:mc="http://schemas.openxmlformats.org/markup-compatibility/2006">
          <mc:Choice Requires="x14">
            <control shapeId="167947" r:id="rId14" name="Check Box 11">
              <controlPr defaultSize="0" autoFill="0" autoLine="0" autoPict="0">
                <anchor moveWithCells="1">
                  <from>
                    <xdr:col>2</xdr:col>
                    <xdr:colOff>142875</xdr:colOff>
                    <xdr:row>27</xdr:row>
                    <xdr:rowOff>9525</xdr:rowOff>
                  </from>
                  <to>
                    <xdr:col>4</xdr:col>
                    <xdr:colOff>0</xdr:colOff>
                    <xdr:row>27</xdr:row>
                    <xdr:rowOff>390525</xdr:rowOff>
                  </to>
                </anchor>
              </controlPr>
            </control>
          </mc:Choice>
        </mc:AlternateContent>
        <mc:AlternateContent xmlns:mc="http://schemas.openxmlformats.org/markup-compatibility/2006">
          <mc:Choice Requires="x14">
            <control shapeId="167948" r:id="rId15" name="Check Box 12">
              <controlPr defaultSize="0" autoFill="0" autoLine="0" autoPict="0">
                <anchor moveWithCells="1">
                  <from>
                    <xdr:col>2</xdr:col>
                    <xdr:colOff>142875</xdr:colOff>
                    <xdr:row>28</xdr:row>
                    <xdr:rowOff>0</xdr:rowOff>
                  </from>
                  <to>
                    <xdr:col>4</xdr:col>
                    <xdr:colOff>0</xdr:colOff>
                    <xdr:row>28</xdr:row>
                    <xdr:rowOff>381000</xdr:rowOff>
                  </to>
                </anchor>
              </controlPr>
            </control>
          </mc:Choice>
        </mc:AlternateContent>
        <mc:AlternateContent xmlns:mc="http://schemas.openxmlformats.org/markup-compatibility/2006">
          <mc:Choice Requires="x14">
            <control shapeId="167949" r:id="rId16" name="Check Box 13">
              <controlPr defaultSize="0" autoFill="0" autoLine="0" autoPict="0">
                <anchor moveWithCells="1">
                  <from>
                    <xdr:col>2</xdr:col>
                    <xdr:colOff>142875</xdr:colOff>
                    <xdr:row>29</xdr:row>
                    <xdr:rowOff>0</xdr:rowOff>
                  </from>
                  <to>
                    <xdr:col>4</xdr:col>
                    <xdr:colOff>0</xdr:colOff>
                    <xdr:row>29</xdr:row>
                    <xdr:rowOff>381000</xdr:rowOff>
                  </to>
                </anchor>
              </controlPr>
            </control>
          </mc:Choice>
        </mc:AlternateContent>
        <mc:AlternateContent xmlns:mc="http://schemas.openxmlformats.org/markup-compatibility/2006">
          <mc:Choice Requires="x14">
            <control shapeId="167950" r:id="rId17" name="Check Box 14">
              <controlPr defaultSize="0" autoFill="0" autoLine="0" autoPict="0">
                <anchor moveWithCells="1">
                  <from>
                    <xdr:col>2</xdr:col>
                    <xdr:colOff>142875</xdr:colOff>
                    <xdr:row>30</xdr:row>
                    <xdr:rowOff>9525</xdr:rowOff>
                  </from>
                  <to>
                    <xdr:col>4</xdr:col>
                    <xdr:colOff>0</xdr:colOff>
                    <xdr:row>30</xdr:row>
                    <xdr:rowOff>390525</xdr:rowOff>
                  </to>
                </anchor>
              </controlPr>
            </control>
          </mc:Choice>
        </mc:AlternateContent>
        <mc:AlternateContent xmlns:mc="http://schemas.openxmlformats.org/markup-compatibility/2006">
          <mc:Choice Requires="x14">
            <control shapeId="167951" r:id="rId18" name="Check Box 15">
              <controlPr defaultSize="0" autoFill="0" autoLine="0" autoPict="0">
                <anchor moveWithCells="1">
                  <from>
                    <xdr:col>2</xdr:col>
                    <xdr:colOff>142875</xdr:colOff>
                    <xdr:row>31</xdr:row>
                    <xdr:rowOff>0</xdr:rowOff>
                  </from>
                  <to>
                    <xdr:col>4</xdr:col>
                    <xdr:colOff>0</xdr:colOff>
                    <xdr:row>31</xdr:row>
                    <xdr:rowOff>371475</xdr:rowOff>
                  </to>
                </anchor>
              </controlPr>
            </control>
          </mc:Choice>
        </mc:AlternateContent>
        <mc:AlternateContent xmlns:mc="http://schemas.openxmlformats.org/markup-compatibility/2006">
          <mc:Choice Requires="x14">
            <control shapeId="167952" r:id="rId19" name="Check Box 16">
              <controlPr defaultSize="0" autoFill="0" autoLine="0" autoPict="0">
                <anchor moveWithCells="1">
                  <from>
                    <xdr:col>2</xdr:col>
                    <xdr:colOff>152400</xdr:colOff>
                    <xdr:row>35</xdr:row>
                    <xdr:rowOff>9525</xdr:rowOff>
                  </from>
                  <to>
                    <xdr:col>4</xdr:col>
                    <xdr:colOff>9525</xdr:colOff>
                    <xdr:row>35</xdr:row>
                    <xdr:rowOff>390525</xdr:rowOff>
                  </to>
                </anchor>
              </controlPr>
            </control>
          </mc:Choice>
        </mc:AlternateContent>
        <mc:AlternateContent xmlns:mc="http://schemas.openxmlformats.org/markup-compatibility/2006">
          <mc:Choice Requires="x14">
            <control shapeId="167953" r:id="rId20" name="Check Box 17">
              <controlPr defaultSize="0" autoFill="0" autoLine="0" autoPict="0">
                <anchor moveWithCells="1">
                  <from>
                    <xdr:col>2</xdr:col>
                    <xdr:colOff>152400</xdr:colOff>
                    <xdr:row>36</xdr:row>
                    <xdr:rowOff>0</xdr:rowOff>
                  </from>
                  <to>
                    <xdr:col>4</xdr:col>
                    <xdr:colOff>9525</xdr:colOff>
                    <xdr:row>36</xdr:row>
                    <xdr:rowOff>381000</xdr:rowOff>
                  </to>
                </anchor>
              </controlPr>
            </control>
          </mc:Choice>
        </mc:AlternateContent>
        <mc:AlternateContent xmlns:mc="http://schemas.openxmlformats.org/markup-compatibility/2006">
          <mc:Choice Requires="x14">
            <control shapeId="167954" r:id="rId21" name="Check Box 18">
              <controlPr defaultSize="0" autoFill="0" autoLine="0" autoPict="0">
                <anchor moveWithCells="1">
                  <from>
                    <xdr:col>2</xdr:col>
                    <xdr:colOff>142875</xdr:colOff>
                    <xdr:row>37</xdr:row>
                    <xdr:rowOff>0</xdr:rowOff>
                  </from>
                  <to>
                    <xdr:col>4</xdr:col>
                    <xdr:colOff>0</xdr:colOff>
                    <xdr:row>37</xdr:row>
                    <xdr:rowOff>381000</xdr:rowOff>
                  </to>
                </anchor>
              </controlPr>
            </control>
          </mc:Choice>
        </mc:AlternateContent>
        <mc:AlternateContent xmlns:mc="http://schemas.openxmlformats.org/markup-compatibility/2006">
          <mc:Choice Requires="x14">
            <control shapeId="167955" r:id="rId22" name="Check Box 19">
              <controlPr defaultSize="0" autoFill="0" autoLine="0" autoPict="0">
                <anchor moveWithCells="1">
                  <from>
                    <xdr:col>2</xdr:col>
                    <xdr:colOff>142875</xdr:colOff>
                    <xdr:row>38</xdr:row>
                    <xdr:rowOff>9525</xdr:rowOff>
                  </from>
                  <to>
                    <xdr:col>4</xdr:col>
                    <xdr:colOff>0</xdr:colOff>
                    <xdr:row>38</xdr:row>
                    <xdr:rowOff>390525</xdr:rowOff>
                  </to>
                </anchor>
              </controlPr>
            </control>
          </mc:Choice>
        </mc:AlternateContent>
        <mc:AlternateContent xmlns:mc="http://schemas.openxmlformats.org/markup-compatibility/2006">
          <mc:Choice Requires="x14">
            <control shapeId="167956" r:id="rId23" name="Check Box 20">
              <controlPr defaultSize="0" autoFill="0" autoLine="0" autoPict="0">
                <anchor moveWithCells="1">
                  <from>
                    <xdr:col>2</xdr:col>
                    <xdr:colOff>142875</xdr:colOff>
                    <xdr:row>39</xdr:row>
                    <xdr:rowOff>0</xdr:rowOff>
                  </from>
                  <to>
                    <xdr:col>4</xdr:col>
                    <xdr:colOff>0</xdr:colOff>
                    <xdr:row>39</xdr:row>
                    <xdr:rowOff>381000</xdr:rowOff>
                  </to>
                </anchor>
              </controlPr>
            </control>
          </mc:Choice>
        </mc:AlternateContent>
        <mc:AlternateContent xmlns:mc="http://schemas.openxmlformats.org/markup-compatibility/2006">
          <mc:Choice Requires="x14">
            <control shapeId="167957" r:id="rId24" name="Check Box 21">
              <controlPr defaultSize="0" autoFill="0" autoLine="0" autoPict="0">
                <anchor moveWithCells="1">
                  <from>
                    <xdr:col>2</xdr:col>
                    <xdr:colOff>142875</xdr:colOff>
                    <xdr:row>43</xdr:row>
                    <xdr:rowOff>0</xdr:rowOff>
                  </from>
                  <to>
                    <xdr:col>4</xdr:col>
                    <xdr:colOff>0</xdr:colOff>
                    <xdr:row>43</xdr:row>
                    <xdr:rowOff>381000</xdr:rowOff>
                  </to>
                </anchor>
              </controlPr>
            </control>
          </mc:Choice>
        </mc:AlternateContent>
        <mc:AlternateContent xmlns:mc="http://schemas.openxmlformats.org/markup-compatibility/2006">
          <mc:Choice Requires="x14">
            <control shapeId="167958" r:id="rId25" name="Check Box 22">
              <controlPr defaultSize="0" autoFill="0" autoLine="0" autoPict="0">
                <anchor moveWithCells="1">
                  <from>
                    <xdr:col>2</xdr:col>
                    <xdr:colOff>142875</xdr:colOff>
                    <xdr:row>44</xdr:row>
                    <xdr:rowOff>0</xdr:rowOff>
                  </from>
                  <to>
                    <xdr:col>4</xdr:col>
                    <xdr:colOff>0</xdr:colOff>
                    <xdr:row>44</xdr:row>
                    <xdr:rowOff>381000</xdr:rowOff>
                  </to>
                </anchor>
              </controlPr>
            </control>
          </mc:Choice>
        </mc:AlternateContent>
        <mc:AlternateContent xmlns:mc="http://schemas.openxmlformats.org/markup-compatibility/2006">
          <mc:Choice Requires="x14">
            <control shapeId="167959" r:id="rId26" name="Check Box 23">
              <controlPr defaultSize="0" autoFill="0" autoLine="0" autoPict="0">
                <anchor moveWithCells="1">
                  <from>
                    <xdr:col>2</xdr:col>
                    <xdr:colOff>142875</xdr:colOff>
                    <xdr:row>45</xdr:row>
                    <xdr:rowOff>0</xdr:rowOff>
                  </from>
                  <to>
                    <xdr:col>4</xdr:col>
                    <xdr:colOff>0</xdr:colOff>
                    <xdr:row>45</xdr:row>
                    <xdr:rowOff>381000</xdr:rowOff>
                  </to>
                </anchor>
              </controlPr>
            </control>
          </mc:Choice>
        </mc:AlternateContent>
        <mc:AlternateContent xmlns:mc="http://schemas.openxmlformats.org/markup-compatibility/2006">
          <mc:Choice Requires="x14">
            <control shapeId="167960" r:id="rId27" name="Check Box 24">
              <controlPr defaultSize="0" autoFill="0" autoLine="0" autoPict="0">
                <anchor moveWithCells="1">
                  <from>
                    <xdr:col>2</xdr:col>
                    <xdr:colOff>142875</xdr:colOff>
                    <xdr:row>46</xdr:row>
                    <xdr:rowOff>9525</xdr:rowOff>
                  </from>
                  <to>
                    <xdr:col>4</xdr:col>
                    <xdr:colOff>0</xdr:colOff>
                    <xdr:row>46</xdr:row>
                    <xdr:rowOff>390525</xdr:rowOff>
                  </to>
                </anchor>
              </controlPr>
            </control>
          </mc:Choice>
        </mc:AlternateContent>
        <mc:AlternateContent xmlns:mc="http://schemas.openxmlformats.org/markup-compatibility/2006">
          <mc:Choice Requires="x14">
            <control shapeId="167961" r:id="rId28" name="Check Box 25">
              <controlPr defaultSize="0" autoFill="0" autoLine="0" autoPict="0">
                <anchor moveWithCells="1">
                  <from>
                    <xdr:col>2</xdr:col>
                    <xdr:colOff>142875</xdr:colOff>
                    <xdr:row>47</xdr:row>
                    <xdr:rowOff>0</xdr:rowOff>
                  </from>
                  <to>
                    <xdr:col>4</xdr:col>
                    <xdr:colOff>0</xdr:colOff>
                    <xdr:row>47</xdr:row>
                    <xdr:rowOff>381000</xdr:rowOff>
                  </to>
                </anchor>
              </controlPr>
            </control>
          </mc:Choice>
        </mc:AlternateContent>
        <mc:AlternateContent xmlns:mc="http://schemas.openxmlformats.org/markup-compatibility/2006">
          <mc:Choice Requires="x14">
            <control shapeId="167962" r:id="rId29" name="Check Box 26">
              <controlPr defaultSize="0" autoFill="0" autoLine="0" autoPict="0">
                <anchor moveWithCells="1">
                  <from>
                    <xdr:col>2</xdr:col>
                    <xdr:colOff>142875</xdr:colOff>
                    <xdr:row>51</xdr:row>
                    <xdr:rowOff>0</xdr:rowOff>
                  </from>
                  <to>
                    <xdr:col>4</xdr:col>
                    <xdr:colOff>0</xdr:colOff>
                    <xdr:row>51</xdr:row>
                    <xdr:rowOff>371475</xdr:rowOff>
                  </to>
                </anchor>
              </controlPr>
            </control>
          </mc:Choice>
        </mc:AlternateContent>
        <mc:AlternateContent xmlns:mc="http://schemas.openxmlformats.org/markup-compatibility/2006">
          <mc:Choice Requires="x14">
            <control shapeId="167963" r:id="rId30" name="Check Box 27">
              <controlPr defaultSize="0" autoFill="0" autoLine="0" autoPict="0">
                <anchor moveWithCells="1">
                  <from>
                    <xdr:col>2</xdr:col>
                    <xdr:colOff>142875</xdr:colOff>
                    <xdr:row>52</xdr:row>
                    <xdr:rowOff>0</xdr:rowOff>
                  </from>
                  <to>
                    <xdr:col>4</xdr:col>
                    <xdr:colOff>0</xdr:colOff>
                    <xdr:row>52</xdr:row>
                    <xdr:rowOff>381000</xdr:rowOff>
                  </to>
                </anchor>
              </controlPr>
            </control>
          </mc:Choice>
        </mc:AlternateContent>
        <mc:AlternateContent xmlns:mc="http://schemas.openxmlformats.org/markup-compatibility/2006">
          <mc:Choice Requires="x14">
            <control shapeId="167964" r:id="rId31" name="Check Box 28">
              <controlPr defaultSize="0" autoFill="0" autoLine="0" autoPict="0">
                <anchor moveWithCells="1">
                  <from>
                    <xdr:col>2</xdr:col>
                    <xdr:colOff>142875</xdr:colOff>
                    <xdr:row>53</xdr:row>
                    <xdr:rowOff>9525</xdr:rowOff>
                  </from>
                  <to>
                    <xdr:col>4</xdr:col>
                    <xdr:colOff>0</xdr:colOff>
                    <xdr:row>53</xdr:row>
                    <xdr:rowOff>390525</xdr:rowOff>
                  </to>
                </anchor>
              </controlPr>
            </control>
          </mc:Choice>
        </mc:AlternateContent>
        <mc:AlternateContent xmlns:mc="http://schemas.openxmlformats.org/markup-compatibility/2006">
          <mc:Choice Requires="x14">
            <control shapeId="167965" r:id="rId32" name="Check Box 29">
              <controlPr defaultSize="0" autoFill="0" autoLine="0" autoPict="0">
                <anchor moveWithCells="1">
                  <from>
                    <xdr:col>2</xdr:col>
                    <xdr:colOff>142875</xdr:colOff>
                    <xdr:row>54</xdr:row>
                    <xdr:rowOff>9525</xdr:rowOff>
                  </from>
                  <to>
                    <xdr:col>4</xdr:col>
                    <xdr:colOff>0</xdr:colOff>
                    <xdr:row>54</xdr:row>
                    <xdr:rowOff>390525</xdr:rowOff>
                  </to>
                </anchor>
              </controlPr>
            </control>
          </mc:Choice>
        </mc:AlternateContent>
        <mc:AlternateContent xmlns:mc="http://schemas.openxmlformats.org/markup-compatibility/2006">
          <mc:Choice Requires="x14">
            <control shapeId="167966" r:id="rId33" name="Check Box 30">
              <controlPr defaultSize="0" autoFill="0" autoLine="0" autoPict="0">
                <anchor moveWithCells="1">
                  <from>
                    <xdr:col>2</xdr:col>
                    <xdr:colOff>142875</xdr:colOff>
                    <xdr:row>55</xdr:row>
                    <xdr:rowOff>0</xdr:rowOff>
                  </from>
                  <to>
                    <xdr:col>4</xdr:col>
                    <xdr:colOff>0</xdr:colOff>
                    <xdr:row>55</xdr:row>
                    <xdr:rowOff>381000</xdr:rowOff>
                  </to>
                </anchor>
              </controlPr>
            </control>
          </mc:Choice>
        </mc:AlternateContent>
        <mc:AlternateContent xmlns:mc="http://schemas.openxmlformats.org/markup-compatibility/2006">
          <mc:Choice Requires="x14">
            <control shapeId="167968" r:id="rId34" name="finalizeP2">
              <controlPr defaultSize="0" print="0" autoFill="0" autoPict="0" macro="[0]!Encoding_Part2.Finalize">
                <anchor moveWithCells="1" sizeWithCells="1">
                  <from>
                    <xdr:col>4</xdr:col>
                    <xdr:colOff>3476625</xdr:colOff>
                    <xdr:row>88</xdr:row>
                    <xdr:rowOff>85725</xdr:rowOff>
                  </from>
                  <to>
                    <xdr:col>4</xdr:col>
                    <xdr:colOff>6057900</xdr:colOff>
                    <xdr:row>93</xdr:row>
                    <xdr:rowOff>85725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C7BE-2D4E-4BC6-9273-A6F6DADC3B26}">
  <sheetPr codeName="PART1">
    <pageSetUpPr fitToPage="1"/>
  </sheetPr>
  <dimension ref="A1:AG145"/>
  <sheetViews>
    <sheetView showGridLines="0" view="pageBreakPreview" topLeftCell="P114" zoomScaleNormal="100" zoomScaleSheetLayoutView="100" workbookViewId="0">
      <selection activeCell="F54" sqref="F54 I54 B54:C54"/>
    </sheetView>
  </sheetViews>
  <sheetFormatPr defaultColWidth="8.85546875" defaultRowHeight="15" x14ac:dyDescent="0.25"/>
  <cols>
    <col min="1" max="1" width="8.85546875" hidden="1" customWidth="1"/>
    <col min="2" max="4" width="8.85546875" style="50" hidden="1" customWidth="1"/>
    <col min="5" max="6" width="8.85546875" hidden="1" customWidth="1"/>
    <col min="7" max="9" width="8.85546875" style="50" hidden="1" customWidth="1"/>
    <col min="10" max="15" width="8.85546875" hidden="1" customWidth="1"/>
    <col min="16" max="16" width="12.140625" customWidth="1"/>
    <col min="17" max="17" width="13.85546875" customWidth="1"/>
    <col min="18" max="18" width="13.28515625" customWidth="1"/>
    <col min="19" max="20" width="7.42578125" customWidth="1"/>
    <col min="21" max="21" width="10.140625" customWidth="1"/>
    <col min="22" max="27" width="15.7109375" customWidth="1"/>
    <col min="28" max="31" width="4.85546875" customWidth="1"/>
    <col min="32" max="32" width="5.85546875" customWidth="1"/>
  </cols>
  <sheetData>
    <row r="1" spans="1:33" ht="24" customHeight="1" x14ac:dyDescent="0.25">
      <c r="P1" s="718" t="str">
        <f>"INDIVIDUAL PERFORMANCE COMMITMENT AND REVIEW FORM (IPCRF) for " &amp; IF(teacher_type="R","Regular Teachers","Teacher Broadcasters") &amp; " in the " &amp; IF(career_stage="P", "Proficient", "Highly Proficient") &amp; " Stage"</f>
        <v>INDIVIDUAL PERFORMANCE COMMITMENT AND REVIEW FORM (IPCRF) for Regular Teachers in the Proficient Stage</v>
      </c>
      <c r="Q1" s="718"/>
      <c r="R1" s="718"/>
      <c r="S1" s="718"/>
      <c r="T1" s="718"/>
      <c r="U1" s="718"/>
      <c r="V1" s="718"/>
      <c r="W1" s="718"/>
      <c r="X1" s="718"/>
      <c r="Y1" s="718"/>
      <c r="Z1" s="718"/>
      <c r="AA1" s="718"/>
      <c r="AB1" s="718"/>
      <c r="AC1" s="718"/>
      <c r="AD1" s="718"/>
      <c r="AE1" s="718"/>
      <c r="AF1" s="718"/>
      <c r="AG1" s="89" t="s">
        <v>728</v>
      </c>
    </row>
    <row r="2" spans="1:33" ht="24" customHeight="1" x14ac:dyDescent="0.25">
      <c r="P2" s="712" t="s">
        <v>1028</v>
      </c>
      <c r="Q2" s="712"/>
      <c r="R2" s="712"/>
      <c r="S2" s="713" t="str">
        <f>'Encoding Part 1'!Q7</f>
        <v>ROWENA S. GOLLA</v>
      </c>
      <c r="T2" s="713"/>
      <c r="U2" s="713"/>
      <c r="V2" s="713"/>
      <c r="W2" s="713"/>
      <c r="X2" s="713"/>
      <c r="Y2" s="712" t="s">
        <v>1166</v>
      </c>
      <c r="Z2" s="712"/>
      <c r="AA2" s="713" t="str">
        <f>'Encoding Part 1'!Q68</f>
        <v>FRANCISCO P. MUYANA</v>
      </c>
      <c r="AB2" s="713"/>
      <c r="AC2" s="713"/>
      <c r="AD2" s="713"/>
      <c r="AE2" s="713"/>
      <c r="AF2" s="713"/>
    </row>
    <row r="3" spans="1:33" ht="24" customHeight="1" x14ac:dyDescent="0.25">
      <c r="P3" s="712" t="s">
        <v>943</v>
      </c>
      <c r="Q3" s="712"/>
      <c r="R3" s="712"/>
      <c r="S3" s="713" t="str" cm="1">
        <f t="array" ref="S3">demographics[position]</f>
        <v>Teacher III</v>
      </c>
      <c r="T3" s="713"/>
      <c r="U3" s="713"/>
      <c r="V3" s="713"/>
      <c r="W3" s="713"/>
      <c r="X3" s="713"/>
      <c r="Y3" s="712" t="s">
        <v>943</v>
      </c>
      <c r="Z3" s="712"/>
      <c r="AA3" s="719" t="str" cm="1">
        <f t="array" ref="AA3">demographics[rater_position]</f>
        <v>Master Teacher I</v>
      </c>
      <c r="AB3" s="720"/>
      <c r="AC3" s="720"/>
      <c r="AD3" s="720"/>
      <c r="AE3" s="720"/>
      <c r="AF3" s="721"/>
    </row>
    <row r="4" spans="1:33" ht="24" customHeight="1" x14ac:dyDescent="0.25">
      <c r="P4" s="712" t="s">
        <v>1036</v>
      </c>
      <c r="Q4" s="712"/>
      <c r="R4" s="712"/>
      <c r="S4" s="713" t="str" cm="1">
        <f t="array" ref="S4">school_attribs[school_name] &amp; " - " &amp; school_attribs[division_name]</f>
        <v>ANTIPOLO NATIONAL HIGH SCHOOL - Antipolo City</v>
      </c>
      <c r="T4" s="713"/>
      <c r="U4" s="713"/>
      <c r="V4" s="713"/>
      <c r="W4" s="713"/>
      <c r="X4" s="713"/>
      <c r="Y4" s="712" t="s">
        <v>1167</v>
      </c>
      <c r="Z4" s="712"/>
      <c r="AA4" s="714" t="str" cm="1">
        <f t="array" ref="AA4">demographics[date_of_review]</f>
        <v/>
      </c>
      <c r="AB4" s="714"/>
      <c r="AC4" s="714"/>
      <c r="AD4" s="714"/>
      <c r="AE4" s="714"/>
      <c r="AF4" s="714"/>
    </row>
    <row r="5" spans="1:33" ht="24" customHeight="1" x14ac:dyDescent="0.25">
      <c r="P5" s="712" t="s">
        <v>1039</v>
      </c>
      <c r="Q5" s="712"/>
      <c r="R5" s="712"/>
      <c r="S5" s="715" t="str" cm="1">
        <f t="array" ref="S5">demographics[rating_period]</f>
        <v>SY 2023-2024</v>
      </c>
      <c r="T5" s="713"/>
      <c r="U5" s="713"/>
      <c r="V5" s="713"/>
      <c r="W5" s="713"/>
      <c r="X5" s="713"/>
      <c r="Y5" s="716"/>
      <c r="Z5" s="716"/>
      <c r="AA5" s="716"/>
      <c r="AB5" s="716"/>
      <c r="AC5" s="716"/>
      <c r="AD5" s="716"/>
      <c r="AE5" s="716"/>
      <c r="AF5" s="717"/>
    </row>
    <row r="6" spans="1:33" ht="15.75" customHeight="1" x14ac:dyDescent="0.25">
      <c r="P6" s="90"/>
      <c r="Q6" s="90"/>
      <c r="R6" s="90"/>
      <c r="S6" s="90"/>
      <c r="T6" s="90"/>
      <c r="U6" s="90"/>
      <c r="V6" s="90"/>
      <c r="W6" s="90"/>
      <c r="X6" s="90"/>
      <c r="Y6" s="11"/>
      <c r="Z6" s="11"/>
      <c r="AA6" s="11"/>
      <c r="AB6" s="11"/>
      <c r="AC6" s="11"/>
      <c r="AD6" s="11"/>
      <c r="AE6" s="11"/>
      <c r="AF6" s="11"/>
    </row>
    <row r="7" spans="1:33" ht="19.5" customHeight="1" thickBot="1" x14ac:dyDescent="0.3">
      <c r="P7" s="91"/>
      <c r="Q7" s="91"/>
      <c r="R7" s="91"/>
      <c r="S7" s="91"/>
      <c r="T7" s="91"/>
      <c r="U7" s="91"/>
      <c r="V7" s="91"/>
      <c r="W7" s="91"/>
      <c r="X7" s="91"/>
      <c r="Y7" s="91"/>
      <c r="Z7" s="91"/>
      <c r="AA7" s="91"/>
      <c r="AB7" s="91"/>
      <c r="AC7" s="91"/>
      <c r="AD7" s="91"/>
      <c r="AE7" s="91"/>
      <c r="AF7" s="91"/>
    </row>
    <row r="8" spans="1:33" ht="19.5" customHeight="1" thickBot="1" x14ac:dyDescent="0.3">
      <c r="P8" s="695" t="s">
        <v>1168</v>
      </c>
      <c r="Q8" s="696"/>
      <c r="R8" s="696"/>
      <c r="S8" s="696"/>
      <c r="T8" s="696"/>
      <c r="U8" s="696"/>
      <c r="V8" s="696"/>
      <c r="W8" s="696"/>
      <c r="X8" s="696"/>
      <c r="Y8" s="696"/>
      <c r="Z8" s="697"/>
      <c r="AA8" s="695" t="s">
        <v>1169</v>
      </c>
      <c r="AB8" s="696"/>
      <c r="AC8" s="696"/>
      <c r="AD8" s="696"/>
      <c r="AE8" s="696"/>
      <c r="AF8" s="697"/>
    </row>
    <row r="9" spans="1:33" ht="15.75" thickBot="1" x14ac:dyDescent="0.3">
      <c r="P9" s="689" t="s">
        <v>1170</v>
      </c>
      <c r="Q9" s="689" t="s">
        <v>1171</v>
      </c>
      <c r="R9" s="689" t="s">
        <v>1054</v>
      </c>
      <c r="S9" s="689" t="s">
        <v>1172</v>
      </c>
      <c r="T9" s="689" t="s">
        <v>1173</v>
      </c>
      <c r="U9" s="698" t="s">
        <v>1174</v>
      </c>
      <c r="V9" s="699"/>
      <c r="W9" s="699"/>
      <c r="X9" s="699"/>
      <c r="Y9" s="699"/>
      <c r="Z9" s="700"/>
      <c r="AA9" s="689" t="s">
        <v>1175</v>
      </c>
      <c r="AB9" s="701" t="s">
        <v>1075</v>
      </c>
      <c r="AC9" s="702"/>
      <c r="AD9" s="702"/>
      <c r="AE9" s="703"/>
      <c r="AF9" s="689" t="s">
        <v>1061</v>
      </c>
      <c r="AG9" s="5"/>
    </row>
    <row r="10" spans="1:33" ht="26.25" customHeight="1" thickBot="1" x14ac:dyDescent="0.3">
      <c r="P10" s="690"/>
      <c r="Q10" s="690"/>
      <c r="R10" s="690"/>
      <c r="S10" s="690"/>
      <c r="T10" s="690"/>
      <c r="U10" s="689" t="s">
        <v>1176</v>
      </c>
      <c r="V10" s="100" t="s">
        <v>773</v>
      </c>
      <c r="W10" s="100" t="s">
        <v>764</v>
      </c>
      <c r="X10" s="100" t="s">
        <v>751</v>
      </c>
      <c r="Y10" s="100" t="s">
        <v>732</v>
      </c>
      <c r="Z10" s="100" t="s">
        <v>714</v>
      </c>
      <c r="AA10" s="690"/>
      <c r="AB10" s="704"/>
      <c r="AC10" s="669"/>
      <c r="AD10" s="669"/>
      <c r="AE10" s="670"/>
      <c r="AF10" s="690"/>
      <c r="AG10" s="5"/>
    </row>
    <row r="11" spans="1:33" ht="30.75" thickBot="1" x14ac:dyDescent="0.3">
      <c r="A11" s="97" t="s">
        <v>914</v>
      </c>
      <c r="B11" s="50" t="s">
        <v>1177</v>
      </c>
      <c r="C11" s="50" t="s">
        <v>916</v>
      </c>
      <c r="D11" s="50" t="s">
        <v>1178</v>
      </c>
      <c r="E11" s="50" t="s">
        <v>917</v>
      </c>
      <c r="F11" s="125" t="s">
        <v>1179</v>
      </c>
      <c r="G11" s="98" t="s">
        <v>1180</v>
      </c>
      <c r="H11" s="98" t="s">
        <v>1181</v>
      </c>
      <c r="I11" s="98" t="s">
        <v>80</v>
      </c>
      <c r="J11" s="50" t="s">
        <v>1176</v>
      </c>
      <c r="K11" s="50" t="s">
        <v>1182</v>
      </c>
      <c r="L11" s="125" t="s">
        <v>1183</v>
      </c>
      <c r="M11" s="125" t="s">
        <v>1012</v>
      </c>
      <c r="N11" s="125" t="s">
        <v>1073</v>
      </c>
      <c r="O11" s="125" t="s">
        <v>1014</v>
      </c>
      <c r="P11" s="691"/>
      <c r="Q11" s="691"/>
      <c r="R11" s="691"/>
      <c r="S11" s="691"/>
      <c r="T11" s="691"/>
      <c r="U11" s="691"/>
      <c r="V11" s="441">
        <v>5</v>
      </c>
      <c r="W11" s="441">
        <v>4</v>
      </c>
      <c r="X11" s="441">
        <v>3</v>
      </c>
      <c r="Y11" s="441">
        <v>2</v>
      </c>
      <c r="Z11" s="441">
        <v>1</v>
      </c>
      <c r="AA11" s="691"/>
      <c r="AB11" s="438" t="s">
        <v>1012</v>
      </c>
      <c r="AC11" s="438" t="s">
        <v>1073</v>
      </c>
      <c r="AD11" s="438" t="s">
        <v>1014</v>
      </c>
      <c r="AE11" s="438" t="s">
        <v>1059</v>
      </c>
      <c r="AF11" s="691"/>
      <c r="AG11" s="5"/>
    </row>
    <row r="12" spans="1:33" ht="102" x14ac:dyDescent="0.25">
      <c r="A12" s="92">
        <v>1</v>
      </c>
      <c r="B12" s="99" t="str" cm="1">
        <f t="array" ref="B12">IFERROR(IF(AND(teacher_type="R",career_stage="P"),INDEX(RPI[Strand],$A12),IF(AND(teacher_type="R",career_stage="HP"),INDEX(RHPI[Strand],$A12), IF(AND(teacher_type="TB",career_stage="P"),INDEX(TBPI[Strand],$A12), IF(AND(teacher_type="TB",career_stage="HP"),INDEX(TBHPI[Strand],$A12),0)))),0)</f>
        <v>1.1.2</v>
      </c>
      <c r="C12" s="99">
        <f>IFERROR(IF(AND(teacher_type="R",career_stage="P"),VLOOKUP($B12,RPI[[Strand]:[Domain]],COLUMNS(RPI[[Strand]:[Domain]]),FALSE), IF(AND(teacher_type="R",career_stage="HP"),VLOOKUP($B12,RHPI[[Strand]:[Domain]],COLUMNS(RHPI[[Strand]:[Domain]]),FALSE), IF(AND(teacher_type="TB",career_stage="P"),VLOOKUP($B12,TBPI[[Strand]:[Domain]],COLUMNS(TBPI[[Strand]:[Domain]]),FALSE), IF(AND(teacher_type="TB",career_stage="HP"),VLOOKUP($B12,TBHPI[[Strand]:[Domain]],COLUMNS(TBHPI[[Strand]:[Domain]]),FALSE),"")))),"")</f>
        <v>1</v>
      </c>
      <c r="D12" s="99" t="b">
        <f>IFERROR(IF(AND(career_stage="P",teacher_type="R"),VLOOKUP(B12,RPI[],COLUMNS(RPI[[Strand]:[Selected]]),FALSE), IF(AND(career_stage="HP",teacher_type="R"),VLOOKUP(B12,RHPI[],COLUMNS(RHPI[[Strand]:[Selected]]),FALSE), IF(AND(career_stage="P",teacher_type="TB"),VLOOKUP(B12,TBPI[],COLUMNS(TBPI[[Strand]:[Selected]]),FALSE), IF(AND(career_stage="HP",teacher_type="TB"),VLOOKUP(B12,TBHPI[],COLUMNS(TBHPI[[Strand]:[Selected]]),FALSE),FALSE)))),FALSE)</f>
        <v>1</v>
      </c>
      <c r="E12" s="92" t="b">
        <f>COUNTIFS($C$12:$C12,C12,$D$12:$D12,TRUE)=1</f>
        <v>1</v>
      </c>
      <c r="F12" s="92" t="b">
        <f>COUNTIFS($C$12:$C12,$C12,$B$12:$B12,$B12,$D$12:$D12,TRUE)=1</f>
        <v>1</v>
      </c>
      <c r="G12" s="99">
        <f>IF($F12,COUNTIFS($C$12:$C12,C12,$F$12:$F12,TRUE),0)</f>
        <v>1</v>
      </c>
      <c r="H12" s="99" t="str">
        <f>B12&amp;"-"&amp;J12 &amp; IF(NOT(L12=""),"-"&amp;L12,"")</f>
        <v>1.1.2-Q-COI</v>
      </c>
      <c r="I12" s="99">
        <f>IF(AND(D12,NOT($A12=$A11)),(COUNTIF($D$11:$D11,TRUE)/3)+1,0)</f>
        <v>1</v>
      </c>
      <c r="J12" s="99" t="s">
        <v>1012</v>
      </c>
      <c r="K12" s="99" t="b">
        <f>IF(AND(teacher_type="R",career_stage="P"),IF(AND(COUNTIFS(RPS[Strand],$B12,RPS[QET],$J12)&gt;0,$D12),TRUE,FALSE), IF(AND(teacher_type="R",career_stage="HP"),IF(AND(COUNTIFS(RHPS[Strand],$B12,RHPS[QET],$J12)&gt;0,$D12),TRUE,FALSE), IF(AND(teacher_type="TB",career_stage="P"),IF(AND(COUNTIFS(TBPS[Strand],$B12,TBPS[QET],$J12)&gt;0,$D12),TRUE,FALSE), IF(AND(teacher_type="TB",career_stage="HP"),IF(AND(COUNTIFS(TBHPS[Strand],$B12,TBHPS[QET],$J12)&gt;0,$D12),TRUE,FALSE),FALSE))))</f>
        <v>1</v>
      </c>
      <c r="L12" s="99" t="str">
        <f>IF($K12,IF(AND(teacher_type="R",career_stage="P"),VLOOKUP($B12,RPI[],COLUMNS(RPI[[Strand]:[user_selected_coi_ncoi]]),FALSE), IF(AND(teacher_type="R",career_stage="HP"),VLOOKUP($B12,RHPI[],COLUMNS(RHPI[[Strand]:[user_selected_coi_ncoi]]),FALSE), IF(AND(teacher_type="TB",career_stage="P"),VLOOKUP($B12,TBPI[],COLUMNS(TBPI[[Strand]:[user_selected_coi_ncoi]]),FALSE), IF(AND(teacher_type="TB",career_stage="HP"),VLOOKUP($B12,TBHPI[],COLUMNS(TBHPI[[Strand]:[user_selected_coi_ncoi]]),FALSE),"")))),"")</f>
        <v>COI</v>
      </c>
      <c r="M12" s="99" t="b">
        <f>IF(AND(teacher_type="R",career_stage="P"),IF(AND(COUNTIFS(RPS[Strand],$B12,RPS[QET],M$11)&gt;0,$D12),TRUE,FALSE),IF(AND(teacher_type="R",career_stage="HP"),IF(AND(COUNTIFS(RHPS[Strand],$B12,RHPS[QET],M$11)&gt;0,$D12),TRUE,FALSE), IF(AND(teacher_type="TB",career_stage="P"),IF(AND(COUNTIFS(TBPS[Strand],$B12,TBPS[QET],M$11)&gt;0,$D12),TRUE,FALSE), IF(AND(teacher_type="TB",career_stage="HP"),IF(AND(COUNTIFS(TBHPS[Strand],$B12,TBHPS[QET],M$11)&gt;0,$D12),TRUE,FALSE),FALSE))))</f>
        <v>1</v>
      </c>
      <c r="N12" s="99" t="b">
        <f>IF(AND(teacher_type="R",career_stage="P"),IF(AND(COUNTIFS(RPS[Strand],$B12,RPS[QET],N$11)&gt;0,$D12),TRUE,FALSE),IF(AND(teacher_type="R",career_stage="HP"),IF(AND(COUNTIFS(RHPS[Strand],$B12,RHPS[QET],N$11)&gt;0,$D12),TRUE,FALSE), IF(AND(teacher_type="TB",career_stage="P"),IF(AND(COUNTIFS(TBPS[Strand],$B12,TBPS[QET],N$11)&gt;0,$D12),TRUE,FALSE), IF(AND(teacher_type="TB",career_stage="HP"),IF(AND(COUNTIFS(TBHPS[Strand],$B12,TBHPS[QET],N$11)&gt;0,$D12),TRUE,FALSE),FALSE))))</f>
        <v>1</v>
      </c>
      <c r="O12" s="99" t="b">
        <f>IF(AND(teacher_type="R",career_stage="P"),IF(AND(COUNTIFS(RPS[Strand],$B12,RPS[QET],O$11)&gt;0,$D12),TRUE,FALSE),IF(AND(teacher_type="R",career_stage="HP"),IF(AND(COUNTIFS(RHPS[Strand],$B12,RHPS[QET],O$11)&gt;0,$D12),TRUE,FALSE), IF(AND(teacher_type="TB",career_stage="P"),IF(AND(COUNTIFS(TBPS[Strand],$B12,TBPS[QET],O$11)&gt;0,$D12),TRUE,FALSE), IF(AND(teacher_type="TB",career_stage="HP"),IF(AND(COUNTIFS(TBHPS[Strand],$B12,TBHPS[QET],O$11)&gt;0,$D12),TRUE,FALSE),FALSE))))</f>
        <v>0</v>
      </c>
      <c r="P12" s="709" t="s">
        <v>1184</v>
      </c>
      <c r="Q12" s="705" t="str">
        <f>IFERROR(IF(E12,IF(C12="Plus Factor","Plus Factor",C12 &amp; ". " &amp; INDEX(Domains[Domain],MATCH(C12,Domains[Domain_code],0),1)),""),"")</f>
        <v>1. Content Knowledge and Pedagogy</v>
      </c>
      <c r="R12" s="692" t="str">
        <f>IFERROR(IF($F12,$I12 &amp; ". " &amp; IF(AND(career_stage="P",teacher_type="R"), INDEX(RPI[PPST Indicators],MATCH($B12,RPI[Strand],0),1), IF(AND(career_stage="HP",teacher_type="R"),INDEX(RHPI[PPST Indicators],MATCH($B12,RHPI[Strand],0),1), IF(AND(career_stage="P",teacher_type="TB"),INDEX(TBPI[PPST Indicators],MATCH($B12,TBPI[Strand],0),1), IF(AND(career_stage="HP",teacher_type="TB"),INDEX(TBHPI[PPST Indicators],MATCH($B12,TBHPI[Strand],0),1),"")))) &amp; IF(NOT(TRIM(LOWER($C12))="plus factor")," (PPST "&amp;B12&amp;")",""),""),"")</f>
        <v>1. Applied knowledge of content within and across curriculum teaching areas (PPST 1.1.2)</v>
      </c>
      <c r="S12" s="693" t="str" cm="1">
        <f t="array" ref="S12">demographics[rating_period]</f>
        <v>SY 2023-2024</v>
      </c>
      <c r="T12" s="706">
        <f>IFERROR(IF(AND(career_stage="P",teacher_type="R"),VLOOKUP(B12,RPI[],COLUMNS(RPI[[Strand]:[Weight]]),FALSE), IF(AND(career_stage="HP",teacher_type="R"),VLOOKUP(B12,RHPI[],COLUMNS(RHPI[[Strand]:[Weight]]),FALSE), IF(AND(career_stage="P",teacher_type="TB"),VLOOKUP(B12,TBPI[],COLUMNS(TBPI[[Strand]:[Weight]]),FALSE), IF(AND(career_stage="HP",teacher_type="TB"),VLOOKUP(B12,TBHPI[],COLUMNS(TBHPI[[Strand]:[Weight]]),FALSE),0)))),0)</f>
        <v>7.0000000000000007E-2</v>
      </c>
      <c r="U12" s="95" t="s">
        <v>1185</v>
      </c>
      <c r="V12" s="389" t="str">
        <f ca="1">IFERROR(IF($M12,IF(AND(career_stage="P",teacher_type="R"),INDEX(INDIRECT("RPS["&amp;V$10&amp;"]"),MATCH($H12,RPS[helper],0),1), IF(AND(career_stage="HP",teacher_type="R"), INDEX(INDIRECT("RHPS["&amp;V$10&amp;"]"),MATCH($H12,RHPS[helper],0),1), IF(AND(career_stage="P",teacher_type="TB"),INDEX(INDIRECT("TBPS["&amp;V$10&amp;"]"),MATCH($H12,TBPS[helper],0),1), IF(AND(career_stage="HP",teacher_type="TB"),INDEX(INDIRECT("TBHPS["&amp;V$10&amp;"]"),MATCH($H12,TBHPS[helper],0),1),"")))),""),"")</f>
        <v>Demonstrated Level 7 in Objective 1 as shown in COT rating sheets / inter-observer agreement forms</v>
      </c>
      <c r="W12" s="389" t="str">
        <f ca="1">IFERROR(IF($M12,IF(AND(career_stage="P",teacher_type="R"),INDEX(INDIRECT("RPS["&amp;W$10&amp;"]"),MATCH($H12,RPS[helper],0),1), IF(AND(career_stage="HP",teacher_type="R"), INDEX(INDIRECT("RHPS["&amp;W$10&amp;"]"),MATCH($H12,RHPS[helper],0),1), IF(AND(career_stage="P",teacher_type="TB"),INDEX(INDIRECT("TBPS["&amp;W$10&amp;"]"),MATCH($H12,TBPS[helper],0),1), IF(AND(career_stage="HP",teacher_type="TB"),INDEX(INDIRECT("TBHPS["&amp;W$10&amp;"]"),MATCH($H12,TBHPS[helper],0),1),"")))),""),"")</f>
        <v>Demonstrated Level 6 in Objective 1 as shown in COT rating sheets / inter-observer agreement forms</v>
      </c>
      <c r="X12" s="389" t="str">
        <f ca="1">IFERROR(IF($M12,IF(AND(career_stage="P",teacher_type="R"),INDEX(INDIRECT("RPS["&amp;X$10&amp;"]"),MATCH($H12,RPS[helper],0),1), IF(AND(career_stage="HP",teacher_type="R"), INDEX(INDIRECT("RHPS["&amp;X$10&amp;"]"),MATCH($H12,RHPS[helper],0),1), IF(AND(career_stage="P",teacher_type="TB"),INDEX(INDIRECT("TBPS["&amp;X$10&amp;"]"),MATCH($H12,TBPS[helper],0),1), IF(AND(career_stage="HP",teacher_type="TB"),INDEX(INDIRECT("TBHPS["&amp;X$10&amp;"]"),MATCH($H12,TBHPS[helper],0),1),"")))),""),"")</f>
        <v>Demonstrated Level 5 in Objective 1 as shown in COT rating sheets / inter-observer agreement forms</v>
      </c>
      <c r="Y12" s="389" t="str">
        <f ca="1">IFERROR(IF($M12,IF(AND(career_stage="P",teacher_type="R"),INDEX(INDIRECT("RPS["&amp;Y$10&amp;"]"),MATCH($H12,RPS[helper],0),1), IF(AND(career_stage="HP",teacher_type="R"), INDEX(INDIRECT("RHPS["&amp;Y$10&amp;"]"),MATCH($H12,RHPS[helper],0),1), IF(AND(career_stage="P",teacher_type="TB"),INDEX(INDIRECT("TBPS["&amp;Y$10&amp;"]"),MATCH($H12,TBPS[helper],0),1), IF(AND(career_stage="HP",teacher_type="TB"),INDEX(INDIRECT("TBHPS["&amp;Y$10&amp;"]"),MATCH($H12,TBHPS[helper],0),1),"")))),""),"")</f>
        <v>Demonstrated Level 4 in Objective 1 as shown in COT rating sheets / inter-observer agreement forms</v>
      </c>
      <c r="Z12" s="389" t="str">
        <f ca="1">IFERROR(IF($M12,IF(AND(career_stage="P",teacher_type="R"),INDEX(INDIRECT("RPS["&amp;Z$10&amp;"]"),MATCH($H12,RPS[helper],0),1), IF(AND(career_stage="HP",teacher_type="R"), INDEX(INDIRECT("RHPS["&amp;Z$10&amp;"]"),MATCH($H12,RHPS[helper],0),1), IF(AND(career_stage="P",teacher_type="TB"),INDEX(INDIRECT("TBPS["&amp;Z$10&amp;"]"),MATCH($H12,TBPS[helper],0),1), IF(AND(career_stage="HP",teacher_type="TB"),INDEX(INDIRECT("TBHPS["&amp;Z$10&amp;"]"),MATCH($H12,TBHPS[helper],0),1),"")))),""),"")</f>
        <v>Demonstrated Level 3 in Objective 1 as shown in COT rating sheets / inter-observer agreement forms
or
No acceptable evidence was shown</v>
      </c>
      <c r="AA12" s="390" t="str" cm="1">
        <f t="array" aca="1" ref="AA12" ca="1">IFERROR(INDEX(V12:Z12,6-AB12),"")</f>
        <v>Demonstrated Level 7 in Objective 1 as shown in COT rating sheets / inter-observer agreement forms</v>
      </c>
      <c r="AB12" s="694">
        <f>IF('Encoding Part 1'!AB22="","",'Encoding Part 1'!AB22)</f>
        <v>5</v>
      </c>
      <c r="AC12" s="694">
        <f>IF('Encoding Part 1'!AC22="","",'Encoding Part 1'!AC22)</f>
        <v>5</v>
      </c>
      <c r="AD12" s="694" t="str">
        <f>IF('Encoding Part 1'!AD22="","",'Encoding Part 1'!AD22)</f>
        <v/>
      </c>
      <c r="AE12" s="707">
        <f>IFERROR(ROUNDDOWN(AVERAGE($AB12:$AD12),3),0)</f>
        <v>5</v>
      </c>
      <c r="AF12" s="708">
        <f>ROUNDDOWN($AE12*$T12,3)</f>
        <v>0.35</v>
      </c>
      <c r="AG12" s="5"/>
    </row>
    <row r="13" spans="1:33" ht="38.25" x14ac:dyDescent="0.25">
      <c r="A13" s="92">
        <v>1</v>
      </c>
      <c r="B13" s="99" t="str" cm="1">
        <f t="array" ref="B13">IFERROR(IF(AND(teacher_type="R",career_stage="P"),INDEX(RPI[Strand],$A13),IF(AND(teacher_type="R",career_stage="HP"),INDEX(RHPI[Strand],$A13), IF(AND(teacher_type="TB",career_stage="P"),INDEX(TBPI[Strand],$A13), IF(AND(teacher_type="TB",career_stage="HP"),INDEX(TBHPI[Strand],$A13),0)))),0)</f>
        <v>1.1.2</v>
      </c>
      <c r="C13" s="99">
        <f>IFERROR(IF(AND(teacher_type="R",career_stage="P"),VLOOKUP($B13,RPI[[Strand]:[Domain]],COLUMNS(RPI[[Strand]:[Domain]]),FALSE), IF(AND(teacher_type="R",career_stage="HP"),VLOOKUP($B13,RHPI[[Strand]:[Domain]],COLUMNS(RHPI[[Strand]:[Domain]]),FALSE), IF(AND(teacher_type="TB",career_stage="P"),VLOOKUP($B13,TBPI[[Strand]:[Domain]],COLUMNS(TBPI[[Strand]:[Domain]]),FALSE), IF(AND(teacher_type="TB",career_stage="HP"),VLOOKUP($B13,TBHPI[[Strand]:[Domain]],COLUMNS(TBHPI[[Strand]:[Domain]]),FALSE),"")))),"")</f>
        <v>1</v>
      </c>
      <c r="D13" s="99" t="b">
        <f>IFERROR(IF(AND(career_stage="P",teacher_type="R"),VLOOKUP(B13,RPI[],COLUMNS(RPI[[Strand]:[Selected]]),FALSE), IF(AND(career_stage="HP",teacher_type="R"),VLOOKUP(B13,RHPI[],COLUMNS(RHPI[[Strand]:[Selected]]),FALSE), IF(AND(career_stage="P",teacher_type="TB"),VLOOKUP(B13,TBPI[],COLUMNS(TBPI[[Strand]:[Selected]]),FALSE), IF(AND(career_stage="HP",teacher_type="TB"),VLOOKUP(B13,TBHPI[],COLUMNS(TBHPI[[Strand]:[Selected]]),FALSE),FALSE)))),FALSE)</f>
        <v>1</v>
      </c>
      <c r="E13" s="92" t="b">
        <f>COUNTIFS($C$12:$C13,C13,$D$12:$D13,TRUE)=1</f>
        <v>0</v>
      </c>
      <c r="F13" s="92" t="b">
        <f>COUNTIFS($C$12:$C13,$C13,$B$12:$B13,$B13,$D$12:$D13,TRUE)=1</f>
        <v>0</v>
      </c>
      <c r="G13" s="99">
        <f>IF($F13,COUNTIFS($C$12:$C13,C13,$F$12:$F13,TRUE),0)</f>
        <v>0</v>
      </c>
      <c r="H13" s="99" t="str">
        <f t="shared" ref="H13:H76" si="0">B13&amp;"-"&amp;J13 &amp; IF(NOT(L13=""),"-"&amp;L13,"")</f>
        <v>1.1.2-E-COI</v>
      </c>
      <c r="I13" s="99">
        <f>IF(AND(D13,NOT($A13=$A12)),(COUNTIF($D$11:$D12,TRUE)/3)+1,0)</f>
        <v>0</v>
      </c>
      <c r="J13" s="99" t="s">
        <v>1073</v>
      </c>
      <c r="K13" s="99" t="b">
        <f>IF(AND(teacher_type="R",career_stage="P"),IF(AND(COUNTIFS(RPS[Strand],$B13,RPS[QET],$J13)&gt;0,$D13),TRUE,FALSE), IF(AND(teacher_type="R",career_stage="HP"),IF(AND(COUNTIFS(RHPS[Strand],$B13,RHPS[QET],$J13)&gt;0,$D13),TRUE,FALSE), IF(AND(teacher_type="TB",career_stage="P"),IF(AND(COUNTIFS(TBPS[Strand],$B13,TBPS[QET],$J13)&gt;0,$D13),TRUE,FALSE), IF(AND(teacher_type="TB",career_stage="HP"),IF(AND(COUNTIFS(TBHPS[Strand],$B13,TBHPS[QET],$J13)&gt;0,$D13),TRUE,FALSE),FALSE))))</f>
        <v>1</v>
      </c>
      <c r="L13" s="99" t="str">
        <f>IF($K13,IF(AND(teacher_type="R",career_stage="P"),VLOOKUP($B13,RPI[],COLUMNS(RPI[[Strand]:[user_selected_coi_ncoi]]),FALSE), IF(AND(teacher_type="R",career_stage="HP"),VLOOKUP($B13,RHPI[],COLUMNS(RHPI[[Strand]:[user_selected_coi_ncoi]]),FALSE), IF(AND(teacher_type="TB",career_stage="P"),VLOOKUP($B13,TBPI[],COLUMNS(TBPI[[Strand]:[user_selected_coi_ncoi]]),FALSE), IF(AND(teacher_type="TB",career_stage="HP"),VLOOKUP($B13,TBHPI[],COLUMNS(TBHPI[[Strand]:[user_selected_coi_ncoi]]),FALSE),"")))),"")</f>
        <v>COI</v>
      </c>
      <c r="M13" s="99" t="b">
        <f>IF(AND(teacher_type="R",career_stage="P"),IF(AND(COUNTIFS(RPS[Strand],$B13,RPS[QET],M$11)&gt;0,$D13),TRUE,FALSE),IF(AND(teacher_type="R",career_stage="HP"),IF(AND(COUNTIFS(RHPS[Strand],$B13,RHPS[QET],M$11)&gt;0,$D13),TRUE,FALSE), IF(AND(teacher_type="TB",career_stage="P"),IF(AND(COUNTIFS(TBPS[Strand],$B13,TBPS[QET],M$11)&gt;0,$D13),TRUE,FALSE), IF(AND(teacher_type="TB",career_stage="HP"),IF(AND(COUNTIFS(TBHPS[Strand],$B13,TBHPS[QET],M$11)&gt;0,$D13),TRUE,FALSE),FALSE))))</f>
        <v>1</v>
      </c>
      <c r="N13" s="99" t="b">
        <f>IF(AND(teacher_type="R",career_stage="P"),IF(AND(COUNTIFS(RPS[Strand],$B13,RPS[QET],N$11)&gt;0,$D13),TRUE,FALSE),IF(AND(teacher_type="R",career_stage="HP"),IF(AND(COUNTIFS(RHPS[Strand],$B13,RHPS[QET],N$11)&gt;0,$D13),TRUE,FALSE), IF(AND(teacher_type="TB",career_stage="P"),IF(AND(COUNTIFS(TBPS[Strand],$B13,TBPS[QET],N$11)&gt;0,$D13),TRUE,FALSE), IF(AND(teacher_type="TB",career_stage="HP"),IF(AND(COUNTIFS(TBHPS[Strand],$B13,TBHPS[QET],N$11)&gt;0,$D13),TRUE,FALSE),FALSE))))</f>
        <v>1</v>
      </c>
      <c r="O13" s="99" t="b">
        <f>IF(AND(teacher_type="R",career_stage="P"),IF(AND(COUNTIFS(RPS[Strand],$B13,RPS[QET],O$11)&gt;0,$D13),TRUE,FALSE),IF(AND(teacher_type="R",career_stage="HP"),IF(AND(COUNTIFS(RHPS[Strand],$B13,RHPS[QET],O$11)&gt;0,$D13),TRUE,FALSE), IF(AND(teacher_type="TB",career_stage="P"),IF(AND(COUNTIFS(TBPS[Strand],$B13,TBPS[QET],O$11)&gt;0,$D13),TRUE,FALSE), IF(AND(teacher_type="TB",career_stage="HP"),IF(AND(COUNTIFS(TBHPS[Strand],$B13,TBHPS[QET],O$11)&gt;0,$D13),TRUE,FALSE),FALSE))))</f>
        <v>0</v>
      </c>
      <c r="P13" s="710"/>
      <c r="Q13" s="686"/>
      <c r="R13" s="663"/>
      <c r="S13" s="664"/>
      <c r="T13" s="684"/>
      <c r="U13" s="94" t="s">
        <v>1186</v>
      </c>
      <c r="V13" s="391" t="str">
        <f ca="1">IFERROR(IF($N13,IF(AND(career_stage="P",teacher_type="R"),INDEX(INDIRECT("RPS["&amp;V$10&amp;"]"),MATCH($H13,RPS[helper],0),1), IF(AND(career_stage="HP",teacher_type="R"), INDEX(INDIRECT("RHPS["&amp;V$10&amp;"]"),MATCH($H13,RHPS[helper],0),1), IF(AND(career_stage="P",teacher_type="TB"),INDEX(INDIRECT("TBPS["&amp;V$10&amp;"]"),MATCH($H13,TBPS[helper],0),1), IF(AND(career_stage="HP",teacher_type="TB"),INDEX(INDIRECT("TBHPS["&amp;V$10&amp;"]"),MATCH($H13,TBHPS[helper],0),1),"")))),""),"")</f>
        <v>Objective was met within the allotted time</v>
      </c>
      <c r="W13" s="391">
        <f ca="1">IFERROR(IF($N13,IF(AND(career_stage="P",teacher_type="R"),INDEX(INDIRECT("RPS["&amp;W$10&amp;"]"),MATCH($H13,RPS[helper],0),1), IF(AND(career_stage="HP",teacher_type="R"), INDEX(INDIRECT("RHPS["&amp;W$10&amp;"]"),MATCH($H13,RHPS[helper],0),1), IF(AND(career_stage="P",teacher_type="TB"),INDEX(INDIRECT("TBPS["&amp;W$10&amp;"]"),MATCH($H13,TBPS[helper],0),1), IF(AND(career_stage="HP",teacher_type="TB"),INDEX(INDIRECT("TBHPS["&amp;W$10&amp;"]"),MATCH($H13,TBHPS[helper],0),1),"")))),""),"")</f>
        <v>0</v>
      </c>
      <c r="X13" s="391" t="str">
        <f ca="1">IFERROR(IF($N13,IF(AND(career_stage="P",teacher_type="R"),INDEX(INDIRECT("RPS["&amp;X$10&amp;"]"),MATCH($H13,RPS[helper],0),1), IF(AND(career_stage="HP",teacher_type="R"), INDEX(INDIRECT("RHPS["&amp;X$10&amp;"]"),MATCH($H13,RHPS[helper],0),1), IF(AND(career_stage="P",teacher_type="TB"),INDEX(INDIRECT("TBPS["&amp;X$10&amp;"]"),MATCH($H13,TBPS[helper],0),1), IF(AND(career_stage="HP",teacher_type="TB"),INDEX(INDIRECT("TBHPS["&amp;X$10&amp;"]"),MATCH($H13,TBHPS[helper],0),1),"")))),""),"")</f>
        <v>Objective was met but instruction exceeded the allotted time</v>
      </c>
      <c r="Y13" s="391">
        <f ca="1">IFERROR(IF($N13,IF(AND(career_stage="P",teacher_type="R"),INDEX(INDIRECT("RPS["&amp;Y$10&amp;"]"),MATCH($H13,RPS[helper],0),1), IF(AND(career_stage="HP",teacher_type="R"), INDEX(INDIRECT("RHPS["&amp;Y$10&amp;"]"),MATCH($H13,RHPS[helper],0),1), IF(AND(career_stage="P",teacher_type="TB"),INDEX(INDIRECT("TBPS["&amp;Y$10&amp;"]"),MATCH($H13,TBPS[helper],0),1), IF(AND(career_stage="HP",teacher_type="TB"),INDEX(INDIRECT("TBHPS["&amp;Y$10&amp;"]"),MATCH($H13,TBHPS[helper],0),1),"")))),""),"")</f>
        <v>0</v>
      </c>
      <c r="Z13" s="391" t="str">
        <f ca="1">IFERROR(IF($N13,IF(AND(career_stage="P",teacher_type="R"),INDEX(INDIRECT("RPS["&amp;Z$10&amp;"]"),MATCH($H13,RPS[helper],0),1), IF(AND(career_stage="HP",teacher_type="R"), INDEX(INDIRECT("RHPS["&amp;Z$10&amp;"]"),MATCH($H13,RHPS[helper],0),1), IF(AND(career_stage="P",teacher_type="TB"),INDEX(INDIRECT("TBPS["&amp;Z$10&amp;"]"),MATCH($H13,TBPS[helper],0),1), IF(AND(career_stage="HP",teacher_type="TB"),INDEX(INDIRECT("TBHPS["&amp;Z$10&amp;"]"),MATCH($H13,TBHPS[helper],0),1),"")))),""),"")</f>
        <v>No acceptable evidence was shown</v>
      </c>
      <c r="AA13" s="392" t="str" cm="1">
        <f t="array" aca="1" ref="AA13" ca="1">IFERROR(INDEX(V13:Z13,6-AC12),"")</f>
        <v>Objective was met within the allotted time</v>
      </c>
      <c r="AB13" s="680"/>
      <c r="AC13" s="680"/>
      <c r="AD13" s="680"/>
      <c r="AE13" s="682"/>
      <c r="AF13" s="661"/>
      <c r="AG13" s="5"/>
    </row>
    <row r="14" spans="1:33" hidden="1" x14ac:dyDescent="0.25">
      <c r="A14" s="92">
        <v>1</v>
      </c>
      <c r="B14" s="99" t="str" cm="1">
        <f t="array" ref="B14">IFERROR(IF(AND(teacher_type="R",career_stage="P"),INDEX(RPI[Strand],$A14),IF(AND(teacher_type="R",career_stage="HP"),INDEX(RHPI[Strand],$A14), IF(AND(teacher_type="TB",career_stage="P"),INDEX(TBPI[Strand],$A14), IF(AND(teacher_type="TB",career_stage="HP"),INDEX(TBHPI[Strand],$A14),0)))),0)</f>
        <v>1.1.2</v>
      </c>
      <c r="C14" s="99">
        <f>IFERROR(IF(AND(teacher_type="R",career_stage="P"),VLOOKUP($B14,RPI[[Strand]:[Domain]],COLUMNS(RPI[[Strand]:[Domain]]),FALSE), IF(AND(teacher_type="R",career_stage="HP"),VLOOKUP($B14,RHPI[[Strand]:[Domain]],COLUMNS(RHPI[[Strand]:[Domain]]),FALSE), IF(AND(teacher_type="TB",career_stage="P"),VLOOKUP($B14,TBPI[[Strand]:[Domain]],COLUMNS(TBPI[[Strand]:[Domain]]),FALSE), IF(AND(teacher_type="TB",career_stage="HP"),VLOOKUP($B14,TBHPI[[Strand]:[Domain]],COLUMNS(TBHPI[[Strand]:[Domain]]),FALSE),"")))),"")</f>
        <v>1</v>
      </c>
      <c r="D14" s="99" t="b">
        <f>IFERROR(IF(AND(career_stage="P",teacher_type="R"),VLOOKUP(B14,RPI[],COLUMNS(RPI[[Strand]:[Selected]]),FALSE), IF(AND(career_stage="HP",teacher_type="R"),VLOOKUP(B14,RHPI[],COLUMNS(RHPI[[Strand]:[Selected]]),FALSE), IF(AND(career_stage="P",teacher_type="TB"),VLOOKUP(B14,TBPI[],COLUMNS(TBPI[[Strand]:[Selected]]),FALSE), IF(AND(career_stage="HP",teacher_type="TB"),VLOOKUP(B14,TBHPI[],COLUMNS(TBHPI[[Strand]:[Selected]]),FALSE),FALSE)))),FALSE)</f>
        <v>1</v>
      </c>
      <c r="E14" s="92" t="b">
        <f>COUNTIFS($C$12:$C14,C14,$D$12:$D14,TRUE)=1</f>
        <v>0</v>
      </c>
      <c r="F14" s="92" t="b">
        <f>COUNTIFS($C$12:$C14,$C14,$B$12:$B14,$B14,$D$12:$D14,TRUE)=1</f>
        <v>0</v>
      </c>
      <c r="G14" s="99">
        <f>IF($F14,COUNTIFS($C$12:$C14,C14,$F$12:$F14,TRUE),0)</f>
        <v>0</v>
      </c>
      <c r="H14" s="99" t="str">
        <f t="shared" si="0"/>
        <v>1.1.2-T</v>
      </c>
      <c r="I14" s="99">
        <f>IF(AND(D14,NOT($A14=$A13)),(COUNTIF($D$11:$D13,TRUE)/3)+1,0)</f>
        <v>0</v>
      </c>
      <c r="J14" s="99" t="s">
        <v>1014</v>
      </c>
      <c r="K14" s="99" t="b">
        <f>IF(AND(teacher_type="R",career_stage="P"),IF(AND(COUNTIFS(RPS[Strand],$B14,RPS[QET],$J14)&gt;0,$D14),TRUE,FALSE), IF(AND(teacher_type="R",career_stage="HP"),IF(AND(COUNTIFS(RHPS[Strand],$B14,RHPS[QET],$J14)&gt;0,$D14),TRUE,FALSE), IF(AND(teacher_type="TB",career_stage="P"),IF(AND(COUNTIFS(TBPS[Strand],$B14,TBPS[QET],$J14)&gt;0,$D14),TRUE,FALSE), IF(AND(teacher_type="TB",career_stage="HP"),IF(AND(COUNTIFS(TBHPS[Strand],$B14,TBHPS[QET],$J14)&gt;0,$D14),TRUE,FALSE),FALSE))))</f>
        <v>0</v>
      </c>
      <c r="L14" s="99" t="str">
        <f>IF($K14,IF(AND(teacher_type="R",career_stage="P"),VLOOKUP($B14,RPI[],COLUMNS(RPI[[Strand]:[user_selected_coi_ncoi]]),FALSE), IF(AND(teacher_type="R",career_stage="HP"),VLOOKUP($B14,RHPI[],COLUMNS(RHPI[[Strand]:[user_selected_coi_ncoi]]),FALSE), IF(AND(teacher_type="TB",career_stage="P"),VLOOKUP($B14,TBPI[],COLUMNS(TBPI[[Strand]:[user_selected_coi_ncoi]]),FALSE), IF(AND(teacher_type="TB",career_stage="HP"),VLOOKUP($B14,TBHPI[],COLUMNS(TBHPI[[Strand]:[user_selected_coi_ncoi]]),FALSE),"")))),"")</f>
        <v/>
      </c>
      <c r="M14" s="99" t="b">
        <f>IF(AND(teacher_type="R",career_stage="P"),IF(AND(COUNTIFS(RPS[Strand],$B14,RPS[QET],M$11)&gt;0,$D14),TRUE,FALSE),IF(AND(teacher_type="R",career_stage="HP"),IF(AND(COUNTIFS(RHPS[Strand],$B14,RHPS[QET],M$11)&gt;0,$D14),TRUE,FALSE), IF(AND(teacher_type="TB",career_stage="P"),IF(AND(COUNTIFS(TBPS[Strand],$B14,TBPS[QET],M$11)&gt;0,$D14),TRUE,FALSE), IF(AND(teacher_type="TB",career_stage="HP"),IF(AND(COUNTIFS(TBHPS[Strand],$B14,TBHPS[QET],M$11)&gt;0,$D14),TRUE,FALSE),FALSE))))</f>
        <v>1</v>
      </c>
      <c r="N14" s="99" t="b">
        <f>IF(AND(teacher_type="R",career_stage="P"),IF(AND(COUNTIFS(RPS[Strand],$B14,RPS[QET],N$11)&gt;0,$D14),TRUE,FALSE),IF(AND(teacher_type="R",career_stage="HP"),IF(AND(COUNTIFS(RHPS[Strand],$B14,RHPS[QET],N$11)&gt;0,$D14),TRUE,FALSE), IF(AND(teacher_type="TB",career_stage="P"),IF(AND(COUNTIFS(TBPS[Strand],$B14,TBPS[QET],N$11)&gt;0,$D14),TRUE,FALSE), IF(AND(teacher_type="TB",career_stage="HP"),IF(AND(COUNTIFS(TBHPS[Strand],$B14,TBHPS[QET],N$11)&gt;0,$D14),TRUE,FALSE),FALSE))))</f>
        <v>1</v>
      </c>
      <c r="O14" s="99" t="b">
        <f>IF(AND(teacher_type="R",career_stage="P"),IF(AND(COUNTIFS(RPS[Strand],$B14,RPS[QET],O$11)&gt;0,$D14),TRUE,FALSE),IF(AND(teacher_type="R",career_stage="HP"),IF(AND(COUNTIFS(RHPS[Strand],$B14,RHPS[QET],O$11)&gt;0,$D14),TRUE,FALSE), IF(AND(teacher_type="TB",career_stage="P"),IF(AND(COUNTIFS(TBPS[Strand],$B14,TBPS[QET],O$11)&gt;0,$D14),TRUE,FALSE), IF(AND(teacher_type="TB",career_stage="HP"),IF(AND(COUNTIFS(TBHPS[Strand],$B14,TBHPS[QET],O$11)&gt;0,$D14),TRUE,FALSE),FALSE))))</f>
        <v>0</v>
      </c>
      <c r="P14" s="710"/>
      <c r="Q14" s="687"/>
      <c r="R14" s="663"/>
      <c r="S14" s="664"/>
      <c r="T14" s="684"/>
      <c r="U14" s="94" t="s">
        <v>1187</v>
      </c>
      <c r="V14" s="391" t="str">
        <f ca="1">IFERROR(IF($O14,IF(AND(career_stage="P",teacher_type="R"),INDEX(INDIRECT("RPS["&amp;V$10&amp;"]"),MATCH($H14,RPS[helper],0),1), IF(AND(career_stage="HP",teacher_type="R"), INDEX(INDIRECT("RHPS["&amp;V$10&amp;"]"),MATCH($H14,RHPS[helper],0),1), IF(AND(career_stage="P",teacher_type="TB"),INDEX(INDIRECT("TBPS["&amp;V$10&amp;"]"),MATCH($H14,TBPS[helper],0),1), IF(AND(career_stage="HP",teacher_type="TB"),INDEX(INDIRECT("TBHPS["&amp;V$10&amp;"]"),MATCH($H14,TBHPS[helper],0),1),"")))),""),"")</f>
        <v/>
      </c>
      <c r="W14" s="391" t="str">
        <f ca="1">IFERROR(IF($O14,IF(AND(career_stage="P",teacher_type="R"),INDEX(INDIRECT("RPS["&amp;W$10&amp;"]"),MATCH($H14,RPS[helper],0),1), IF(AND(career_stage="HP",teacher_type="R"), INDEX(INDIRECT("RHPS["&amp;W$10&amp;"]"),MATCH($H14,RHPS[helper],0),1), IF(AND(career_stage="P",teacher_type="TB"),INDEX(INDIRECT("TBPS["&amp;W$10&amp;"]"),MATCH($H14,TBPS[helper],0),1), IF(AND(career_stage="HP",teacher_type="TB"),INDEX(INDIRECT("TBHPS["&amp;W$10&amp;"]"),MATCH($H14,TBHPS[helper],0),1),"")))),""),"")</f>
        <v/>
      </c>
      <c r="X14" s="391" t="str">
        <f ca="1">IFERROR(IF($O14,IF(AND(career_stage="P",teacher_type="R"),INDEX(INDIRECT("RPS["&amp;X$10&amp;"]"),MATCH($H14,RPS[helper],0),1), IF(AND(career_stage="HP",teacher_type="R"), INDEX(INDIRECT("RHPS["&amp;X$10&amp;"]"),MATCH($H14,RHPS[helper],0),1), IF(AND(career_stage="P",teacher_type="TB"),INDEX(INDIRECT("TBPS["&amp;X$10&amp;"]"),MATCH($H14,TBPS[helper],0),1), IF(AND(career_stage="HP",teacher_type="TB"),INDEX(INDIRECT("TBHPS["&amp;X$10&amp;"]"),MATCH($H14,TBHPS[helper],0),1),"")))),""),"")</f>
        <v/>
      </c>
      <c r="Y14" s="391" t="str">
        <f ca="1">IFERROR(IF($O14,IF(AND(career_stage="P",teacher_type="R"),INDEX(INDIRECT("RPS["&amp;Y$10&amp;"]"),MATCH($H14,RPS[helper],0),1), IF(AND(career_stage="HP",teacher_type="R"), INDEX(INDIRECT("RHPS["&amp;Y$10&amp;"]"),MATCH($H14,RHPS[helper],0),1), IF(AND(career_stage="P",teacher_type="TB"),INDEX(INDIRECT("TBPS["&amp;Y$10&amp;"]"),MATCH($H14,TBPS[helper],0),1), IF(AND(career_stage="HP",teacher_type="TB"),INDEX(INDIRECT("TBHPS["&amp;Y$10&amp;"]"),MATCH($H14,TBHPS[helper],0),1),"")))),""),"")</f>
        <v/>
      </c>
      <c r="Z14" s="391" t="str">
        <f ca="1">IFERROR(IF($O14,IF(AND(career_stage="P",teacher_type="R"),INDEX(INDIRECT("RPS["&amp;Z$10&amp;"]"),MATCH($H14,RPS[helper],0),1), IF(AND(career_stage="HP",teacher_type="R"), INDEX(INDIRECT("RHPS["&amp;Z$10&amp;"]"),MATCH($H14,RHPS[helper],0),1), IF(AND(career_stage="P",teacher_type="TB"),INDEX(INDIRECT("TBPS["&amp;Z$10&amp;"]"),MATCH($H14,TBPS[helper],0),1), IF(AND(career_stage="HP",teacher_type="TB"),INDEX(INDIRECT("TBHPS["&amp;Z$10&amp;"]"),MATCH($H14,TBHPS[helper],0),1),"")))),""),"")</f>
        <v/>
      </c>
      <c r="AA14" s="392" t="str" cm="1">
        <f t="array" ref="AA14">IFERROR(INDEX(V14:Z14,6-AD12),"")</f>
        <v/>
      </c>
      <c r="AB14" s="680"/>
      <c r="AC14" s="680"/>
      <c r="AD14" s="680"/>
      <c r="AE14" s="682"/>
      <c r="AF14" s="661"/>
      <c r="AG14" s="5"/>
    </row>
    <row r="15" spans="1:33" hidden="1" x14ac:dyDescent="0.25">
      <c r="A15" s="92">
        <v>2</v>
      </c>
      <c r="B15" s="99" t="str" cm="1">
        <f t="array" ref="B15">IFERROR(IF(AND(teacher_type="R",career_stage="P"),INDEX(RPI[Strand],$A15),IF(AND(teacher_type="R",career_stage="HP"),INDEX(RHPI[Strand],$A15), IF(AND(teacher_type="TB",career_stage="P"),INDEX(TBPI[Strand],$A15), IF(AND(teacher_type="TB",career_stage="HP"),INDEX(TBHPI[Strand],$A15),0)))),0)</f>
        <v>1.2.2</v>
      </c>
      <c r="C15" s="99">
        <f>IFERROR(IF(AND(teacher_type="R",career_stage="P"),VLOOKUP($B15,RPI[[Strand]:[Domain]],COLUMNS(RPI[[Strand]:[Domain]]),FALSE), IF(AND(teacher_type="R",career_stage="HP"),VLOOKUP($B15,RHPI[[Strand]:[Domain]],COLUMNS(RHPI[[Strand]:[Domain]]),FALSE), IF(AND(teacher_type="TB",career_stage="P"),VLOOKUP($B15,TBPI[[Strand]:[Domain]],COLUMNS(TBPI[[Strand]:[Domain]]),FALSE), IF(AND(teacher_type="TB",career_stage="HP"),VLOOKUP($B15,TBHPI[[Strand]:[Domain]],COLUMNS(TBHPI[[Strand]:[Domain]]),FALSE),"")))),"")</f>
        <v>1</v>
      </c>
      <c r="D15" s="99" t="b">
        <f>IFERROR(IF(AND(career_stage="P",teacher_type="R"),VLOOKUP(B15,RPI[],COLUMNS(RPI[[Strand]:[Selected]]),FALSE), IF(AND(career_stage="HP",teacher_type="R"),VLOOKUP(B15,RHPI[],COLUMNS(RHPI[[Strand]:[Selected]]),FALSE), IF(AND(career_stage="P",teacher_type="TB"),VLOOKUP(B15,TBPI[],COLUMNS(TBPI[[Strand]:[Selected]]),FALSE), IF(AND(career_stage="HP",teacher_type="TB"),VLOOKUP(B15,TBHPI[],COLUMNS(TBHPI[[Strand]:[Selected]]),FALSE),FALSE)))),FALSE)</f>
        <v>0</v>
      </c>
      <c r="E15" s="92" t="b">
        <f>COUNTIFS($C$12:$C15,C15,$D$12:$D15,TRUE)=1</f>
        <v>0</v>
      </c>
      <c r="F15" s="92" t="b">
        <f>COUNTIFS($C$12:$C15,$C15,$B$12:$B15,$B15,$D$12:$D15,TRUE)=1</f>
        <v>0</v>
      </c>
      <c r="G15" s="99">
        <f>IF($F15,COUNTIFS($C$12:$C15,C15,$F$12:$F15,TRUE),0)</f>
        <v>0</v>
      </c>
      <c r="H15" s="99" t="str">
        <f t="shared" si="0"/>
        <v>1.2.2-Q</v>
      </c>
      <c r="I15" s="99">
        <f>IF(AND(D15,NOT($A15=$A14)),(COUNTIF($D$11:$D14,TRUE)/3)+1,0)</f>
        <v>0</v>
      </c>
      <c r="J15" s="99" t="s">
        <v>1012</v>
      </c>
      <c r="K15" s="99" t="b">
        <f>IF(AND(teacher_type="R",career_stage="P"),IF(AND(COUNTIFS(RPS[Strand],$B15,RPS[QET],$J15)&gt;0,$D15),TRUE,FALSE), IF(AND(teacher_type="R",career_stage="HP"),IF(AND(COUNTIFS(RHPS[Strand],$B15,RHPS[QET],$J15)&gt;0,$D15),TRUE,FALSE), IF(AND(teacher_type="TB",career_stage="P"),IF(AND(COUNTIFS(TBPS[Strand],$B15,TBPS[QET],$J15)&gt;0,$D15),TRUE,FALSE), IF(AND(teacher_type="TB",career_stage="HP"),IF(AND(COUNTIFS(TBHPS[Strand],$B15,TBHPS[QET],$J15)&gt;0,$D15),TRUE,FALSE),FALSE))))</f>
        <v>0</v>
      </c>
      <c r="L15" s="99" t="str">
        <f>IF($K15,IF(AND(teacher_type="R",career_stage="P"),VLOOKUP($B15,RPI[],COLUMNS(RPI[[Strand]:[user_selected_coi_ncoi]]),FALSE), IF(AND(teacher_type="R",career_stage="HP"),VLOOKUP($B15,RHPI[],COLUMNS(RHPI[[Strand]:[user_selected_coi_ncoi]]),FALSE), IF(AND(teacher_type="TB",career_stage="P"),VLOOKUP($B15,TBPI[],COLUMNS(TBPI[[Strand]:[user_selected_coi_ncoi]]),FALSE), IF(AND(teacher_type="TB",career_stage="HP"),VLOOKUP($B15,TBHPI[],COLUMNS(TBHPI[[Strand]:[user_selected_coi_ncoi]]),FALSE),"")))),"")</f>
        <v/>
      </c>
      <c r="M15" s="99" t="b">
        <f>IF(AND(teacher_type="R",career_stage="P"),IF(AND(COUNTIFS(RPS[Strand],$B15,RPS[QET],M$11)&gt;0,$D15),TRUE,FALSE),IF(AND(teacher_type="R",career_stage="HP"),IF(AND(COUNTIFS(RHPS[Strand],$B15,RHPS[QET],M$11)&gt;0,$D15),TRUE,FALSE), IF(AND(teacher_type="TB",career_stage="P"),IF(AND(COUNTIFS(TBPS[Strand],$B15,TBPS[QET],M$11)&gt;0,$D15),TRUE,FALSE), IF(AND(teacher_type="TB",career_stage="HP"),IF(AND(COUNTIFS(TBHPS[Strand],$B15,TBHPS[QET],M$11)&gt;0,$D15),TRUE,FALSE),FALSE))))</f>
        <v>0</v>
      </c>
      <c r="N15" s="99" t="b">
        <f>IF(AND(teacher_type="R",career_stage="P"),IF(AND(COUNTIFS(RPS[Strand],$B15,RPS[QET],N$11)&gt;0,$D15),TRUE,FALSE),IF(AND(teacher_type="R",career_stage="HP"),IF(AND(COUNTIFS(RHPS[Strand],$B15,RHPS[QET],N$11)&gt;0,$D15),TRUE,FALSE), IF(AND(teacher_type="TB",career_stage="P"),IF(AND(COUNTIFS(TBPS[Strand],$B15,TBPS[QET],N$11)&gt;0,$D15),TRUE,FALSE), IF(AND(teacher_type="TB",career_stage="HP"),IF(AND(COUNTIFS(TBHPS[Strand],$B15,TBHPS[QET],N$11)&gt;0,$D15),TRUE,FALSE),FALSE))))</f>
        <v>0</v>
      </c>
      <c r="O15" s="99" t="b">
        <f>IF(AND(teacher_type="R",career_stage="P"),IF(AND(COUNTIFS(RPS[Strand],$B15,RPS[QET],O$11)&gt;0,$D15),TRUE,FALSE),IF(AND(teacher_type="R",career_stage="HP"),IF(AND(COUNTIFS(RHPS[Strand],$B15,RHPS[QET],O$11)&gt;0,$D15),TRUE,FALSE), IF(AND(teacher_type="TB",career_stage="P"),IF(AND(COUNTIFS(TBPS[Strand],$B15,TBPS[QET],O$11)&gt;0,$D15),TRUE,FALSE), IF(AND(teacher_type="TB",career_stage="HP"),IF(AND(COUNTIFS(TBHPS[Strand],$B15,TBHPS[QET],O$11)&gt;0,$D15),TRUE,FALSE),FALSE))))</f>
        <v>0</v>
      </c>
      <c r="P15" s="710"/>
      <c r="Q15" s="685" t="str">
        <f>IFERROR(IF(E15,IF(C15="Plus Factor","Plus Factor",C15 &amp; ". " &amp; INDEX(Domains[Domain],MATCH(C15,Domains[Domain_code],0),1)),""),"")</f>
        <v/>
      </c>
      <c r="R15" s="688" t="str">
        <f>IFERROR(IF($F15,$I15 &amp; ". " &amp; IF(AND(career_stage="P",teacher_type="R"), INDEX(RPI[PPST Indicators],MATCH($B15,RPI[Strand],0),1), IF(AND(career_stage="HP",teacher_type="R"),INDEX(RHPI[PPST Indicators],MATCH($B15,RHPI[Strand],0),1), IF(AND(career_stage="P",teacher_type="TB"),INDEX(TBPI[PPST Indicators],MATCH($B15,TBPI[Strand],0),1), IF(AND(career_stage="HP",teacher_type="TB"),INDEX(TBHPI[PPST Indicators],MATCH($B15,TBHPI[Strand],0),1),"")))) &amp; IF(NOT(TRIM(LOWER($C15))="plus factor")," (PPST "&amp;B15&amp;")",""),""),"")</f>
        <v/>
      </c>
      <c r="S15" s="664" t="str" cm="1">
        <f t="array" ref="S15">demographics[rating_period]</f>
        <v>SY 2023-2024</v>
      </c>
      <c r="T15" s="684">
        <f>IFERROR(IF(AND(career_stage="P",teacher_type="R"),VLOOKUP(B15,RPI[],COLUMNS(RPI[[Strand]:[Weight]]),FALSE), IF(AND(career_stage="HP",teacher_type="R"),VLOOKUP(B15,RHPI[],COLUMNS(RHPI[[Strand]:[Weight]]),FALSE), IF(AND(career_stage="P",teacher_type="TB"),VLOOKUP(B15,TBPI[],COLUMNS(TBPI[[Strand]:[Weight]]),FALSE), IF(AND(career_stage="HP",teacher_type="TB"),VLOOKUP(B15,TBHPI[],COLUMNS(TBHPI[[Strand]:[Weight]]),FALSE),0)))),0)</f>
        <v>0</v>
      </c>
      <c r="U15" s="94" t="s">
        <v>1185</v>
      </c>
      <c r="V15" s="391" t="str">
        <f ca="1">IFERROR(IF($M15,IF(AND(career_stage="P",teacher_type="R"),INDEX(INDIRECT("RPS["&amp;V$10&amp;"]"),MATCH($H15,RPS[helper],0),1), IF(AND(career_stage="HP",teacher_type="R"), INDEX(INDIRECT("RHPS["&amp;V$10&amp;"]"),MATCH($H15,RHPS[helper],0),1), IF(AND(career_stage="P",teacher_type="TB"),INDEX(INDIRECT("TBPS["&amp;V$10&amp;"]"),MATCH($H15,TBPS[helper],0),1), IF(AND(career_stage="HP",teacher_type="TB"),INDEX(INDIRECT("TBHPS["&amp;V$10&amp;"]"),MATCH($H15,TBHPS[helper],0),1),"")))),""),"")</f>
        <v/>
      </c>
      <c r="W15" s="391" t="str">
        <f ca="1">IFERROR(IF($M15,IF(AND(career_stage="P",teacher_type="R"),INDEX(INDIRECT("RPS["&amp;W$10&amp;"]"),MATCH($H15,RPS[helper],0),1), IF(AND(career_stage="HP",teacher_type="R"), INDEX(INDIRECT("RHPS["&amp;W$10&amp;"]"),MATCH($H15,RHPS[helper],0),1), IF(AND(career_stage="P",teacher_type="TB"),INDEX(INDIRECT("TBPS["&amp;W$10&amp;"]"),MATCH($H15,TBPS[helper],0),1), IF(AND(career_stage="HP",teacher_type="TB"),INDEX(INDIRECT("TBHPS["&amp;W$10&amp;"]"),MATCH($H15,TBHPS[helper],0),1),"")))),""),"")</f>
        <v/>
      </c>
      <c r="X15" s="391" t="str">
        <f ca="1">IFERROR(IF($M15,IF(AND(career_stage="P",teacher_type="R"),INDEX(INDIRECT("RPS["&amp;X$10&amp;"]"),MATCH($H15,RPS[helper],0),1), IF(AND(career_stage="HP",teacher_type="R"), INDEX(INDIRECT("RHPS["&amp;X$10&amp;"]"),MATCH($H15,RHPS[helper],0),1), IF(AND(career_stage="P",teacher_type="TB"),INDEX(INDIRECT("TBPS["&amp;X$10&amp;"]"),MATCH($H15,TBPS[helper],0),1), IF(AND(career_stage="HP",teacher_type="TB"),INDEX(INDIRECT("TBHPS["&amp;X$10&amp;"]"),MATCH($H15,TBHPS[helper],0),1),"")))),""),"")</f>
        <v/>
      </c>
      <c r="Y15" s="391" t="str">
        <f ca="1">IFERROR(IF($M15,IF(AND(career_stage="P",teacher_type="R"),INDEX(INDIRECT("RPS["&amp;Y$10&amp;"]"),MATCH($H15,RPS[helper],0),1), IF(AND(career_stage="HP",teacher_type="R"), INDEX(INDIRECT("RHPS["&amp;Y$10&amp;"]"),MATCH($H15,RHPS[helper],0),1), IF(AND(career_stage="P",teacher_type="TB"),INDEX(INDIRECT("TBPS["&amp;Y$10&amp;"]"),MATCH($H15,TBPS[helper],0),1), IF(AND(career_stage="HP",teacher_type="TB"),INDEX(INDIRECT("TBHPS["&amp;Y$10&amp;"]"),MATCH($H15,TBHPS[helper],0),1),"")))),""),"")</f>
        <v/>
      </c>
      <c r="Z15" s="391" t="str">
        <f ca="1">IFERROR(IF($M15,IF(AND(career_stage="P",teacher_type="R"),INDEX(INDIRECT("RPS["&amp;Z$10&amp;"]"),MATCH($H15,RPS[helper],0),1), IF(AND(career_stage="HP",teacher_type="R"), INDEX(INDIRECT("RHPS["&amp;Z$10&amp;"]"),MATCH($H15,RHPS[helper],0),1), IF(AND(career_stage="P",teacher_type="TB"),INDEX(INDIRECT("TBPS["&amp;Z$10&amp;"]"),MATCH($H15,TBPS[helper],0),1), IF(AND(career_stage="HP",teacher_type="TB"),INDEX(INDIRECT("TBHPS["&amp;Z$10&amp;"]"),MATCH($H15,TBHPS[helper],0),1),"")))),""),"")</f>
        <v/>
      </c>
      <c r="AA15" s="392" t="str" cm="1">
        <f t="array" ref="AA15">IFERROR(INDEX(V15:Z15,6-AB15),"")</f>
        <v/>
      </c>
      <c r="AB15" s="680" t="str">
        <f>IF('Encoding Part 1'!AB23="","",'Encoding Part 1'!AB23)</f>
        <v/>
      </c>
      <c r="AC15" s="680" t="str">
        <f>IF('Encoding Part 1'!AC23="","",'Encoding Part 1'!AC23)</f>
        <v/>
      </c>
      <c r="AD15" s="680" t="str">
        <f>IF('Encoding Part 1'!AD23="","",'Encoding Part 1'!AD23)</f>
        <v/>
      </c>
      <c r="AE15" s="682">
        <f t="shared" ref="AE15" si="1">IFERROR(ROUNDDOWN(AVERAGE($AB15:$AD15),3),0)</f>
        <v>0</v>
      </c>
      <c r="AF15" s="661">
        <f t="shared" ref="AF15" si="2">ROUNDDOWN($AE15*$T15,3)</f>
        <v>0</v>
      </c>
      <c r="AG15" s="5"/>
    </row>
    <row r="16" spans="1:33" hidden="1" x14ac:dyDescent="0.25">
      <c r="A16" s="92">
        <v>2</v>
      </c>
      <c r="B16" s="99" t="str" cm="1">
        <f t="array" ref="B16">IFERROR(IF(AND(teacher_type="R",career_stage="P"),INDEX(RPI[Strand],$A16),IF(AND(teacher_type="R",career_stage="HP"),INDEX(RHPI[Strand],$A16), IF(AND(teacher_type="TB",career_stage="P"),INDEX(TBPI[Strand],$A16), IF(AND(teacher_type="TB",career_stage="HP"),INDEX(TBHPI[Strand],$A16),0)))),0)</f>
        <v>1.2.2</v>
      </c>
      <c r="C16" s="99">
        <f>IFERROR(IF(AND(teacher_type="R",career_stage="P"),VLOOKUP($B16,RPI[[Strand]:[Domain]],COLUMNS(RPI[[Strand]:[Domain]]),FALSE), IF(AND(teacher_type="R",career_stage="HP"),VLOOKUP($B16,RHPI[[Strand]:[Domain]],COLUMNS(RHPI[[Strand]:[Domain]]),FALSE), IF(AND(teacher_type="TB",career_stage="P"),VLOOKUP($B16,TBPI[[Strand]:[Domain]],COLUMNS(TBPI[[Strand]:[Domain]]),FALSE), IF(AND(teacher_type="TB",career_stage="HP"),VLOOKUP($B16,TBHPI[[Strand]:[Domain]],COLUMNS(TBHPI[[Strand]:[Domain]]),FALSE),"")))),"")</f>
        <v>1</v>
      </c>
      <c r="D16" s="99" t="b">
        <f>IFERROR(IF(AND(career_stage="P",teacher_type="R"),VLOOKUP(B16,RPI[],COLUMNS(RPI[[Strand]:[Selected]]),FALSE), IF(AND(career_stage="HP",teacher_type="R"),VLOOKUP(B16,RHPI[],COLUMNS(RHPI[[Strand]:[Selected]]),FALSE), IF(AND(career_stage="P",teacher_type="TB"),VLOOKUP(B16,TBPI[],COLUMNS(TBPI[[Strand]:[Selected]]),FALSE), IF(AND(career_stage="HP",teacher_type="TB"),VLOOKUP(B16,TBHPI[],COLUMNS(TBHPI[[Strand]:[Selected]]),FALSE),FALSE)))),FALSE)</f>
        <v>0</v>
      </c>
      <c r="E16" s="92" t="b">
        <f>COUNTIFS($C$12:$C16,C16,$D$12:$D16,TRUE)=1</f>
        <v>0</v>
      </c>
      <c r="F16" s="92" t="b">
        <f>COUNTIFS($C$12:$C16,$C16,$B$12:$B16,$B16,$D$12:$D16,TRUE)=1</f>
        <v>0</v>
      </c>
      <c r="G16" s="99">
        <f>IF($F16,COUNTIFS($C$12:$C16,C16,$F$12:$F16,TRUE),0)</f>
        <v>0</v>
      </c>
      <c r="H16" s="99" t="str">
        <f t="shared" si="0"/>
        <v>1.2.2-E</v>
      </c>
      <c r="I16" s="99">
        <f>IF(AND(D16,NOT($A16=$A15)),(COUNTIF($D$11:$D15,TRUE)/3)+1,0)</f>
        <v>0</v>
      </c>
      <c r="J16" s="99" t="s">
        <v>1073</v>
      </c>
      <c r="K16" s="99" t="b">
        <f>IF(AND(teacher_type="R",career_stage="P"),IF(AND(COUNTIFS(RPS[Strand],$B16,RPS[QET],$J16)&gt;0,$D16),TRUE,FALSE), IF(AND(teacher_type="R",career_stage="HP"),IF(AND(COUNTIFS(RHPS[Strand],$B16,RHPS[QET],$J16)&gt;0,$D16),TRUE,FALSE), IF(AND(teacher_type="TB",career_stage="P"),IF(AND(COUNTIFS(TBPS[Strand],$B16,TBPS[QET],$J16)&gt;0,$D16),TRUE,FALSE), IF(AND(teacher_type="TB",career_stage="HP"),IF(AND(COUNTIFS(TBHPS[Strand],$B16,TBHPS[QET],$J16)&gt;0,$D16),TRUE,FALSE),FALSE))))</f>
        <v>0</v>
      </c>
      <c r="L16" s="99" t="str">
        <f>IF($K16,IF(AND(teacher_type="R",career_stage="P"),VLOOKUP($B16,RPI[],COLUMNS(RPI[[Strand]:[user_selected_coi_ncoi]]),FALSE), IF(AND(teacher_type="R",career_stage="HP"),VLOOKUP($B16,RHPI[],COLUMNS(RHPI[[Strand]:[user_selected_coi_ncoi]]),FALSE), IF(AND(teacher_type="TB",career_stage="P"),VLOOKUP($B16,TBPI[],COLUMNS(TBPI[[Strand]:[user_selected_coi_ncoi]]),FALSE), IF(AND(teacher_type="TB",career_stage="HP"),VLOOKUP($B16,TBHPI[],COLUMNS(TBHPI[[Strand]:[user_selected_coi_ncoi]]),FALSE),"")))),"")</f>
        <v/>
      </c>
      <c r="M16" s="99" t="b">
        <f>IF(AND(teacher_type="R",career_stage="P"),IF(AND(COUNTIFS(RPS[Strand],$B16,RPS[QET],M$11)&gt;0,$D16),TRUE,FALSE),IF(AND(teacher_type="R",career_stage="HP"),IF(AND(COUNTIFS(RHPS[Strand],$B16,RHPS[QET],M$11)&gt;0,$D16),TRUE,FALSE), IF(AND(teacher_type="TB",career_stage="P"),IF(AND(COUNTIFS(TBPS[Strand],$B16,TBPS[QET],M$11)&gt;0,$D16),TRUE,FALSE), IF(AND(teacher_type="TB",career_stage="HP"),IF(AND(COUNTIFS(TBHPS[Strand],$B16,TBHPS[QET],M$11)&gt;0,$D16),TRUE,FALSE),FALSE))))</f>
        <v>0</v>
      </c>
      <c r="N16" s="99" t="b">
        <f>IF(AND(teacher_type="R",career_stage="P"),IF(AND(COUNTIFS(RPS[Strand],$B16,RPS[QET],N$11)&gt;0,$D16),TRUE,FALSE),IF(AND(teacher_type="R",career_stage="HP"),IF(AND(COUNTIFS(RHPS[Strand],$B16,RHPS[QET],N$11)&gt;0,$D16),TRUE,FALSE), IF(AND(teacher_type="TB",career_stage="P"),IF(AND(COUNTIFS(TBPS[Strand],$B16,TBPS[QET],N$11)&gt;0,$D16),TRUE,FALSE), IF(AND(teacher_type="TB",career_stage="HP"),IF(AND(COUNTIFS(TBHPS[Strand],$B16,TBHPS[QET],N$11)&gt;0,$D16),TRUE,FALSE),FALSE))))</f>
        <v>0</v>
      </c>
      <c r="O16" s="99" t="b">
        <f>IF(AND(teacher_type="R",career_stage="P"),IF(AND(COUNTIFS(RPS[Strand],$B16,RPS[QET],O$11)&gt;0,$D16),TRUE,FALSE),IF(AND(teacher_type="R",career_stage="HP"),IF(AND(COUNTIFS(RHPS[Strand],$B16,RHPS[QET],O$11)&gt;0,$D16),TRUE,FALSE), IF(AND(teacher_type="TB",career_stage="P"),IF(AND(COUNTIFS(TBPS[Strand],$B16,TBPS[QET],O$11)&gt;0,$D16),TRUE,FALSE), IF(AND(teacher_type="TB",career_stage="HP"),IF(AND(COUNTIFS(TBHPS[Strand],$B16,TBHPS[QET],O$11)&gt;0,$D16),TRUE,FALSE),FALSE))))</f>
        <v>0</v>
      </c>
      <c r="P16" s="710"/>
      <c r="Q16" s="686"/>
      <c r="R16" s="688"/>
      <c r="S16" s="664"/>
      <c r="T16" s="684"/>
      <c r="U16" s="94" t="s">
        <v>1186</v>
      </c>
      <c r="V16" s="391" t="str">
        <f ca="1">IFERROR(IF($N16,IF(AND(career_stage="P",teacher_type="R"),INDEX(INDIRECT("RPS["&amp;V$10&amp;"]"),MATCH($H16,RPS[helper],0),1), IF(AND(career_stage="HP",teacher_type="R"), INDEX(INDIRECT("RHPS["&amp;V$10&amp;"]"),MATCH($H16,RHPS[helper],0),1), IF(AND(career_stage="P",teacher_type="TB"),INDEX(INDIRECT("TBPS["&amp;V$10&amp;"]"),MATCH($H16,TBPS[helper],0),1), IF(AND(career_stage="HP",teacher_type="TB"),INDEX(INDIRECT("TBHPS["&amp;V$10&amp;"]"),MATCH($H16,TBHPS[helper],0),1),"")))),""),"")</f>
        <v/>
      </c>
      <c r="W16" s="391" t="str">
        <f ca="1">IFERROR(IF($N16,IF(AND(career_stage="P",teacher_type="R"),INDEX(INDIRECT("RPS["&amp;W$10&amp;"]"),MATCH($H16,RPS[helper],0),1), IF(AND(career_stage="HP",teacher_type="R"), INDEX(INDIRECT("RHPS["&amp;W$10&amp;"]"),MATCH($H16,RHPS[helper],0),1), IF(AND(career_stage="P",teacher_type="TB"),INDEX(INDIRECT("TBPS["&amp;W$10&amp;"]"),MATCH($H16,TBPS[helper],0),1), IF(AND(career_stage="HP",teacher_type="TB"),INDEX(INDIRECT("TBHPS["&amp;W$10&amp;"]"),MATCH($H16,TBHPS[helper],0),1),"")))),""),"")</f>
        <v/>
      </c>
      <c r="X16" s="391" t="str">
        <f ca="1">IFERROR(IF($N16,IF(AND(career_stage="P",teacher_type="R"),INDEX(INDIRECT("RPS["&amp;X$10&amp;"]"),MATCH($H16,RPS[helper],0),1), IF(AND(career_stage="HP",teacher_type="R"), INDEX(INDIRECT("RHPS["&amp;X$10&amp;"]"),MATCH($H16,RHPS[helper],0),1), IF(AND(career_stage="P",teacher_type="TB"),INDEX(INDIRECT("TBPS["&amp;X$10&amp;"]"),MATCH($H16,TBPS[helper],0),1), IF(AND(career_stage="HP",teacher_type="TB"),INDEX(INDIRECT("TBHPS["&amp;X$10&amp;"]"),MATCH($H16,TBHPS[helper],0),1),"")))),""),"")</f>
        <v/>
      </c>
      <c r="Y16" s="391" t="str">
        <f ca="1">IFERROR(IF($N16,IF(AND(career_stage="P",teacher_type="R"),INDEX(INDIRECT("RPS["&amp;Y$10&amp;"]"),MATCH($H16,RPS[helper],0),1), IF(AND(career_stage="HP",teacher_type="R"), INDEX(INDIRECT("RHPS["&amp;Y$10&amp;"]"),MATCH($H16,RHPS[helper],0),1), IF(AND(career_stage="P",teacher_type="TB"),INDEX(INDIRECT("TBPS["&amp;Y$10&amp;"]"),MATCH($H16,TBPS[helper],0),1), IF(AND(career_stage="HP",teacher_type="TB"),INDEX(INDIRECT("TBHPS["&amp;Y$10&amp;"]"),MATCH($H16,TBHPS[helper],0),1),"")))),""),"")</f>
        <v/>
      </c>
      <c r="Z16" s="391" t="str">
        <f ca="1">IFERROR(IF($N16,IF(AND(career_stage="P",teacher_type="R"),INDEX(INDIRECT("RPS["&amp;Z$10&amp;"]"),MATCH($H16,RPS[helper],0),1), IF(AND(career_stage="HP",teacher_type="R"), INDEX(INDIRECT("RHPS["&amp;Z$10&amp;"]"),MATCH($H16,RHPS[helper],0),1), IF(AND(career_stage="P",teacher_type="TB"),INDEX(INDIRECT("TBPS["&amp;Z$10&amp;"]"),MATCH($H16,TBPS[helper],0),1), IF(AND(career_stage="HP",teacher_type="TB"),INDEX(INDIRECT("TBHPS["&amp;Z$10&amp;"]"),MATCH($H16,TBHPS[helper],0),1),"")))),""),"")</f>
        <v/>
      </c>
      <c r="AA16" s="392" t="str" cm="1">
        <f t="array" ref="AA16">IFERROR(INDEX(V16:Z16,6-AC15),"")</f>
        <v/>
      </c>
      <c r="AB16" s="680"/>
      <c r="AC16" s="680"/>
      <c r="AD16" s="680"/>
      <c r="AE16" s="682"/>
      <c r="AF16" s="661"/>
      <c r="AG16" s="5"/>
    </row>
    <row r="17" spans="1:33" hidden="1" x14ac:dyDescent="0.25">
      <c r="A17" s="92">
        <v>2</v>
      </c>
      <c r="B17" s="99" t="str" cm="1">
        <f t="array" ref="B17">IFERROR(IF(AND(teacher_type="R",career_stage="P"),INDEX(RPI[Strand],$A17),IF(AND(teacher_type="R",career_stage="HP"),INDEX(RHPI[Strand],$A17), IF(AND(teacher_type="TB",career_stage="P"),INDEX(TBPI[Strand],$A17), IF(AND(teacher_type="TB",career_stage="HP"),INDEX(TBHPI[Strand],$A17),0)))),0)</f>
        <v>1.2.2</v>
      </c>
      <c r="C17" s="99">
        <f>IFERROR(IF(AND(teacher_type="R",career_stage="P"),VLOOKUP($B17,RPI[[Strand]:[Domain]],COLUMNS(RPI[[Strand]:[Domain]]),FALSE), IF(AND(teacher_type="R",career_stage="HP"),VLOOKUP($B17,RHPI[[Strand]:[Domain]],COLUMNS(RHPI[[Strand]:[Domain]]),FALSE), IF(AND(teacher_type="TB",career_stage="P"),VLOOKUP($B17,TBPI[[Strand]:[Domain]],COLUMNS(TBPI[[Strand]:[Domain]]),FALSE), IF(AND(teacher_type="TB",career_stage="HP"),VLOOKUP($B17,TBHPI[[Strand]:[Domain]],COLUMNS(TBHPI[[Strand]:[Domain]]),FALSE),"")))),"")</f>
        <v>1</v>
      </c>
      <c r="D17" s="99" t="b">
        <f>IFERROR(IF(AND(career_stage="P",teacher_type="R"),VLOOKUP(B17,RPI[],COLUMNS(RPI[[Strand]:[Selected]]),FALSE), IF(AND(career_stage="HP",teacher_type="R"),VLOOKUP(B17,RHPI[],COLUMNS(RHPI[[Strand]:[Selected]]),FALSE), IF(AND(career_stage="P",teacher_type="TB"),VLOOKUP(B17,TBPI[],COLUMNS(TBPI[[Strand]:[Selected]]),FALSE), IF(AND(career_stage="HP",teacher_type="TB"),VLOOKUP(B17,TBHPI[],COLUMNS(TBHPI[[Strand]:[Selected]]),FALSE),FALSE)))),FALSE)</f>
        <v>0</v>
      </c>
      <c r="E17" s="92" t="b">
        <f>COUNTIFS($C$12:$C17,C17,$D$12:$D17,TRUE)=1</f>
        <v>0</v>
      </c>
      <c r="F17" s="92" t="b">
        <f>COUNTIFS($C$12:$C17,$C17,$B$12:$B17,$B17,$D$12:$D17,TRUE)=1</f>
        <v>0</v>
      </c>
      <c r="G17" s="99">
        <f>IF($F17,COUNTIFS($C$12:$C17,C17,$F$12:$F17,TRUE),0)</f>
        <v>0</v>
      </c>
      <c r="H17" s="99" t="str">
        <f t="shared" si="0"/>
        <v>1.2.2-T</v>
      </c>
      <c r="I17" s="99">
        <f>IF(AND(D17,NOT($A17=$A16)),(COUNTIF($D$11:$D16,TRUE)/3)+1,0)</f>
        <v>0</v>
      </c>
      <c r="J17" s="99" t="s">
        <v>1014</v>
      </c>
      <c r="K17" s="99" t="b">
        <f>IF(AND(teacher_type="R",career_stage="P"),IF(AND(COUNTIFS(RPS[Strand],$B17,RPS[QET],$J17)&gt;0,$D17),TRUE,FALSE), IF(AND(teacher_type="R",career_stage="HP"),IF(AND(COUNTIFS(RHPS[Strand],$B17,RHPS[QET],$J17)&gt;0,$D17),TRUE,FALSE), IF(AND(teacher_type="TB",career_stage="P"),IF(AND(COUNTIFS(TBPS[Strand],$B17,TBPS[QET],$J17)&gt;0,$D17),TRUE,FALSE), IF(AND(teacher_type="TB",career_stage="HP"),IF(AND(COUNTIFS(TBHPS[Strand],$B17,TBHPS[QET],$J17)&gt;0,$D17),TRUE,FALSE),FALSE))))</f>
        <v>0</v>
      </c>
      <c r="L17" s="99" t="str">
        <f>IF($K17,IF(AND(teacher_type="R",career_stage="P"),VLOOKUP($B17,RPI[],COLUMNS(RPI[[Strand]:[user_selected_coi_ncoi]]),FALSE), IF(AND(teacher_type="R",career_stage="HP"),VLOOKUP($B17,RHPI[],COLUMNS(RHPI[[Strand]:[user_selected_coi_ncoi]]),FALSE), IF(AND(teacher_type="TB",career_stage="P"),VLOOKUP($B17,TBPI[],COLUMNS(TBPI[[Strand]:[user_selected_coi_ncoi]]),FALSE), IF(AND(teacher_type="TB",career_stage="HP"),VLOOKUP($B17,TBHPI[],COLUMNS(TBHPI[[Strand]:[user_selected_coi_ncoi]]),FALSE),"")))),"")</f>
        <v/>
      </c>
      <c r="M17" s="99" t="b">
        <f>IF(AND(teacher_type="R",career_stage="P"),IF(AND(COUNTIFS(RPS[Strand],$B17,RPS[QET],M$11)&gt;0,$D17),TRUE,FALSE),IF(AND(teacher_type="R",career_stage="HP"),IF(AND(COUNTIFS(RHPS[Strand],$B17,RHPS[QET],M$11)&gt;0,$D17),TRUE,FALSE), IF(AND(teacher_type="TB",career_stage="P"),IF(AND(COUNTIFS(TBPS[Strand],$B17,TBPS[QET],M$11)&gt;0,$D17),TRUE,FALSE), IF(AND(teacher_type="TB",career_stage="HP"),IF(AND(COUNTIFS(TBHPS[Strand],$B17,TBHPS[QET],M$11)&gt;0,$D17),TRUE,FALSE),FALSE))))</f>
        <v>0</v>
      </c>
      <c r="N17" s="99" t="b">
        <f>IF(AND(teacher_type="R",career_stage="P"),IF(AND(COUNTIFS(RPS[Strand],$B17,RPS[QET],N$11)&gt;0,$D17),TRUE,FALSE),IF(AND(teacher_type="R",career_stage="HP"),IF(AND(COUNTIFS(RHPS[Strand],$B17,RHPS[QET],N$11)&gt;0,$D17),TRUE,FALSE), IF(AND(teacher_type="TB",career_stage="P"),IF(AND(COUNTIFS(TBPS[Strand],$B17,TBPS[QET],N$11)&gt;0,$D17),TRUE,FALSE), IF(AND(teacher_type="TB",career_stage="HP"),IF(AND(COUNTIFS(TBHPS[Strand],$B17,TBHPS[QET],N$11)&gt;0,$D17),TRUE,FALSE),FALSE))))</f>
        <v>0</v>
      </c>
      <c r="O17" s="99" t="b">
        <f>IF(AND(teacher_type="R",career_stage="P"),IF(AND(COUNTIFS(RPS[Strand],$B17,RPS[QET],O$11)&gt;0,$D17),TRUE,FALSE),IF(AND(teacher_type="R",career_stage="HP"),IF(AND(COUNTIFS(RHPS[Strand],$B17,RHPS[QET],O$11)&gt;0,$D17),TRUE,FALSE), IF(AND(teacher_type="TB",career_stage="P"),IF(AND(COUNTIFS(TBPS[Strand],$B17,TBPS[QET],O$11)&gt;0,$D17),TRUE,FALSE), IF(AND(teacher_type="TB",career_stage="HP"),IF(AND(COUNTIFS(TBHPS[Strand],$B17,TBHPS[QET],O$11)&gt;0,$D17),TRUE,FALSE),FALSE))))</f>
        <v>0</v>
      </c>
      <c r="P17" s="710"/>
      <c r="Q17" s="687"/>
      <c r="R17" s="688"/>
      <c r="S17" s="664"/>
      <c r="T17" s="684"/>
      <c r="U17" s="94" t="s">
        <v>1187</v>
      </c>
      <c r="V17" s="391" t="str">
        <f ca="1">IFERROR(IF($O17,IF(AND(career_stage="P",teacher_type="R"),INDEX(INDIRECT("RPS["&amp;V$10&amp;"]"),MATCH($H17,RPS[helper],0),1), IF(AND(career_stage="HP",teacher_type="R"), INDEX(INDIRECT("RHPS["&amp;V$10&amp;"]"),MATCH($H17,RHPS[helper],0),1), IF(AND(career_stage="P",teacher_type="TB"),INDEX(INDIRECT("TBPS["&amp;V$10&amp;"]"),MATCH($H17,TBPS[helper],0),1), IF(AND(career_stage="HP",teacher_type="TB"),INDEX(INDIRECT("TBHPS["&amp;V$10&amp;"]"),MATCH($H17,TBHPS[helper],0),1),"")))),""),"")</f>
        <v/>
      </c>
      <c r="W17" s="391" t="str">
        <f ca="1">IFERROR(IF($O17,IF(AND(career_stage="P",teacher_type="R"),INDEX(INDIRECT("RPS["&amp;W$10&amp;"]"),MATCH($H17,RPS[helper],0),1), IF(AND(career_stage="HP",teacher_type="R"), INDEX(INDIRECT("RHPS["&amp;W$10&amp;"]"),MATCH($H17,RHPS[helper],0),1), IF(AND(career_stage="P",teacher_type="TB"),INDEX(INDIRECT("TBPS["&amp;W$10&amp;"]"),MATCH($H17,TBPS[helper],0),1), IF(AND(career_stage="HP",teacher_type="TB"),INDEX(INDIRECT("TBHPS["&amp;W$10&amp;"]"),MATCH($H17,TBHPS[helper],0),1),"")))),""),"")</f>
        <v/>
      </c>
      <c r="X17" s="391" t="str">
        <f ca="1">IFERROR(IF($O17,IF(AND(career_stage="P",teacher_type="R"),INDEX(INDIRECT("RPS["&amp;X$10&amp;"]"),MATCH($H17,RPS[helper],0),1), IF(AND(career_stage="HP",teacher_type="R"), INDEX(INDIRECT("RHPS["&amp;X$10&amp;"]"),MATCH($H17,RHPS[helper],0),1), IF(AND(career_stage="P",teacher_type="TB"),INDEX(INDIRECT("TBPS["&amp;X$10&amp;"]"),MATCH($H17,TBPS[helper],0),1), IF(AND(career_stage="HP",teacher_type="TB"),INDEX(INDIRECT("TBHPS["&amp;X$10&amp;"]"),MATCH($H17,TBHPS[helper],0),1),"")))),""),"")</f>
        <v/>
      </c>
      <c r="Y17" s="391" t="str">
        <f ca="1">IFERROR(IF($O17,IF(AND(career_stage="P",teacher_type="R"),INDEX(INDIRECT("RPS["&amp;Y$10&amp;"]"),MATCH($H17,RPS[helper],0),1), IF(AND(career_stage="HP",teacher_type="R"), INDEX(INDIRECT("RHPS["&amp;Y$10&amp;"]"),MATCH($H17,RHPS[helper],0),1), IF(AND(career_stage="P",teacher_type="TB"),INDEX(INDIRECT("TBPS["&amp;Y$10&amp;"]"),MATCH($H17,TBPS[helper],0),1), IF(AND(career_stage="HP",teacher_type="TB"),INDEX(INDIRECT("TBHPS["&amp;Y$10&amp;"]"),MATCH($H17,TBHPS[helper],0),1),"")))),""),"")</f>
        <v/>
      </c>
      <c r="Z17" s="391" t="str">
        <f ca="1">IFERROR(IF($O17,IF(AND(career_stage="P",teacher_type="R"),INDEX(INDIRECT("RPS["&amp;Z$10&amp;"]"),MATCH($H17,RPS[helper],0),1), IF(AND(career_stage="HP",teacher_type="R"), INDEX(INDIRECT("RHPS["&amp;Z$10&amp;"]"),MATCH($H17,RHPS[helper],0),1), IF(AND(career_stage="P",teacher_type="TB"),INDEX(INDIRECT("TBPS["&amp;Z$10&amp;"]"),MATCH($H17,TBPS[helper],0),1), IF(AND(career_stage="HP",teacher_type="TB"),INDEX(INDIRECT("TBHPS["&amp;Z$10&amp;"]"),MATCH($H17,TBHPS[helper],0),1),"")))),""),"")</f>
        <v/>
      </c>
      <c r="AA17" s="391" t="str" cm="1">
        <f t="array" ref="AA17">IFERROR(INDEX(V17:Z17,6-AD15),"")</f>
        <v/>
      </c>
      <c r="AB17" s="680"/>
      <c r="AC17" s="680"/>
      <c r="AD17" s="680"/>
      <c r="AE17" s="682"/>
      <c r="AF17" s="661"/>
      <c r="AG17" s="5"/>
    </row>
    <row r="18" spans="1:33" hidden="1" x14ac:dyDescent="0.25">
      <c r="A18" s="92">
        <v>3</v>
      </c>
      <c r="B18" s="99" t="str" cm="1">
        <f t="array" ref="B18">IFERROR(IF(AND(teacher_type="R",career_stage="P"),INDEX(RPI[Strand],$A18),IF(AND(teacher_type="R",career_stage="HP"),INDEX(RHPI[Strand],$A18), IF(AND(teacher_type="TB",career_stage="P"),INDEX(TBPI[Strand],$A18), IF(AND(teacher_type="TB",career_stage="HP"),INDEX(TBHPI[Strand],$A18),0)))),0)</f>
        <v>1.3.2</v>
      </c>
      <c r="C18" s="99">
        <f>IFERROR(IF(AND(teacher_type="R",career_stage="P"),VLOOKUP($B18,RPI[[Strand]:[Domain]],COLUMNS(RPI[[Strand]:[Domain]]),FALSE), IF(AND(teacher_type="R",career_stage="HP"),VLOOKUP($B18,RHPI[[Strand]:[Domain]],COLUMNS(RHPI[[Strand]:[Domain]]),FALSE), IF(AND(teacher_type="TB",career_stage="P"),VLOOKUP($B18,TBPI[[Strand]:[Domain]],COLUMNS(TBPI[[Strand]:[Domain]]),FALSE), IF(AND(teacher_type="TB",career_stage="HP"),VLOOKUP($B18,TBHPI[[Strand]:[Domain]],COLUMNS(TBHPI[[Strand]:[Domain]]),FALSE),"")))),"")</f>
        <v>1</v>
      </c>
      <c r="D18" s="99" t="b">
        <f>IFERROR(IF(AND(career_stage="P",teacher_type="R"),VLOOKUP(B18,RPI[],COLUMNS(RPI[[Strand]:[Selected]]),FALSE), IF(AND(career_stage="HP",teacher_type="R"),VLOOKUP(B18,RHPI[],COLUMNS(RHPI[[Strand]:[Selected]]),FALSE), IF(AND(career_stage="P",teacher_type="TB"),VLOOKUP(B18,TBPI[],COLUMNS(TBPI[[Strand]:[Selected]]),FALSE), IF(AND(career_stage="HP",teacher_type="TB"),VLOOKUP(B18,TBHPI[],COLUMNS(TBHPI[[Strand]:[Selected]]),FALSE),FALSE)))),FALSE)</f>
        <v>0</v>
      </c>
      <c r="E18" s="92" t="b">
        <f>COUNTIFS($C$12:$C18,C18,$D$12:$D18,TRUE)=1</f>
        <v>0</v>
      </c>
      <c r="F18" s="92" t="b">
        <f>COUNTIFS($C$12:$C18,$C18,$B$12:$B18,$B18,$D$12:$D18,TRUE)=1</f>
        <v>0</v>
      </c>
      <c r="G18" s="99">
        <f>IF($F18,COUNTIFS($C$12:$C18,C18,$F$12:$F18,TRUE),0)</f>
        <v>0</v>
      </c>
      <c r="H18" s="99" t="str">
        <f t="shared" si="0"/>
        <v>1.3.2-Q</v>
      </c>
      <c r="I18" s="99">
        <f>IF(AND(D18,NOT($A18=$A17)),(COUNTIF($D$11:$D17,TRUE)/3)+1,0)</f>
        <v>0</v>
      </c>
      <c r="J18" s="99" t="s">
        <v>1012</v>
      </c>
      <c r="K18" s="99" t="b">
        <f>IF(AND(teacher_type="R",career_stage="P"),IF(AND(COUNTIFS(RPS[Strand],$B18,RPS[QET],$J18)&gt;0,$D18),TRUE,FALSE), IF(AND(teacher_type="R",career_stage="HP"),IF(AND(COUNTIFS(RHPS[Strand],$B18,RHPS[QET],$J18)&gt;0,$D18),TRUE,FALSE), IF(AND(teacher_type="TB",career_stage="P"),IF(AND(COUNTIFS(TBPS[Strand],$B18,TBPS[QET],$J18)&gt;0,$D18),TRUE,FALSE), IF(AND(teacher_type="TB",career_stage="HP"),IF(AND(COUNTIFS(TBHPS[Strand],$B18,TBHPS[QET],$J18)&gt;0,$D18),TRUE,FALSE),FALSE))))</f>
        <v>0</v>
      </c>
      <c r="L18" s="99" t="str">
        <f>IF($K18,IF(AND(teacher_type="R",career_stage="P"),VLOOKUP($B18,RPI[],COLUMNS(RPI[[Strand]:[user_selected_coi_ncoi]]),FALSE), IF(AND(teacher_type="R",career_stage="HP"),VLOOKUP($B18,RHPI[],COLUMNS(RHPI[[Strand]:[user_selected_coi_ncoi]]),FALSE), IF(AND(teacher_type="TB",career_stage="P"),VLOOKUP($B18,TBPI[],COLUMNS(TBPI[[Strand]:[user_selected_coi_ncoi]]),FALSE), IF(AND(teacher_type="TB",career_stage="HP"),VLOOKUP($B18,TBHPI[],COLUMNS(TBHPI[[Strand]:[user_selected_coi_ncoi]]),FALSE),"")))),"")</f>
        <v/>
      </c>
      <c r="M18" s="99" t="b">
        <f>IF(AND(teacher_type="R",career_stage="P"),IF(AND(COUNTIFS(RPS[Strand],$B18,RPS[QET],M$11)&gt;0,$D18),TRUE,FALSE),IF(AND(teacher_type="R",career_stage="HP"),IF(AND(COUNTIFS(RHPS[Strand],$B18,RHPS[QET],M$11)&gt;0,$D18),TRUE,FALSE), IF(AND(teacher_type="TB",career_stage="P"),IF(AND(COUNTIFS(TBPS[Strand],$B18,TBPS[QET],M$11)&gt;0,$D18),TRUE,FALSE), IF(AND(teacher_type="TB",career_stage="HP"),IF(AND(COUNTIFS(TBHPS[Strand],$B18,TBHPS[QET],M$11)&gt;0,$D18),TRUE,FALSE),FALSE))))</f>
        <v>0</v>
      </c>
      <c r="N18" s="99" t="b">
        <f>IF(AND(teacher_type="R",career_stage="P"),IF(AND(COUNTIFS(RPS[Strand],$B18,RPS[QET],N$11)&gt;0,$D18),TRUE,FALSE),IF(AND(teacher_type="R",career_stage="HP"),IF(AND(COUNTIFS(RHPS[Strand],$B18,RHPS[QET],N$11)&gt;0,$D18),TRUE,FALSE), IF(AND(teacher_type="TB",career_stage="P"),IF(AND(COUNTIFS(TBPS[Strand],$B18,TBPS[QET],N$11)&gt;0,$D18),TRUE,FALSE), IF(AND(teacher_type="TB",career_stage="HP"),IF(AND(COUNTIFS(TBHPS[Strand],$B18,TBHPS[QET],N$11)&gt;0,$D18),TRUE,FALSE),FALSE))))</f>
        <v>0</v>
      </c>
      <c r="O18" s="99" t="b">
        <f>IF(AND(teacher_type="R",career_stage="P"),IF(AND(COUNTIFS(RPS[Strand],$B18,RPS[QET],O$11)&gt;0,$D18),TRUE,FALSE),IF(AND(teacher_type="R",career_stage="HP"),IF(AND(COUNTIFS(RHPS[Strand],$B18,RHPS[QET],O$11)&gt;0,$D18),TRUE,FALSE), IF(AND(teacher_type="TB",career_stage="P"),IF(AND(COUNTIFS(TBPS[Strand],$B18,TBPS[QET],O$11)&gt;0,$D18),TRUE,FALSE), IF(AND(teacher_type="TB",career_stage="HP"),IF(AND(COUNTIFS(TBHPS[Strand],$B18,TBHPS[QET],O$11)&gt;0,$D18),TRUE,FALSE),FALSE))))</f>
        <v>0</v>
      </c>
      <c r="P18" s="710"/>
      <c r="Q18" s="685" t="str">
        <f>IFERROR(IF(E18,IF(C18="Plus Factor","Plus Factor",C18 &amp; ". " &amp; INDEX(Domains[Domain],MATCH(C18,Domains[Domain_code],0),1)),""),"")</f>
        <v/>
      </c>
      <c r="R18" s="663" t="str">
        <f>IFERROR(IF($F18,$I18 &amp; ". " &amp; IF(AND(career_stage="P",teacher_type="R"), INDEX(RPI[PPST Indicators],MATCH($B18,RPI[Strand],0),1), IF(AND(career_stage="HP",teacher_type="R"),INDEX(RHPI[PPST Indicators],MATCH($B18,RHPI[Strand],0),1), IF(AND(career_stage="P",teacher_type="TB"),INDEX(TBPI[PPST Indicators],MATCH($B18,TBPI[Strand],0),1), IF(AND(career_stage="HP",teacher_type="TB"),INDEX(TBHPI[PPST Indicators],MATCH($B18,TBHPI[Strand],0),1),"")))) &amp; IF(NOT(TRIM(LOWER($C18))="plus factor")," (PPST "&amp;B18&amp;")",""),""),"")</f>
        <v/>
      </c>
      <c r="S18" s="664" t="str" cm="1">
        <f t="array" ref="S18">demographics[rating_period]</f>
        <v>SY 2023-2024</v>
      </c>
      <c r="T18" s="684">
        <f>IFERROR(IF(AND(career_stage="P",teacher_type="R"),VLOOKUP(B18,RPI[],COLUMNS(RPI[[Strand]:[Weight]]),FALSE), IF(AND(career_stage="HP",teacher_type="R"),VLOOKUP(B18,RHPI[],COLUMNS(RHPI[[Strand]:[Weight]]),FALSE), IF(AND(career_stage="P",teacher_type="TB"),VLOOKUP(B18,TBPI[],COLUMNS(TBPI[[Strand]:[Weight]]),FALSE), IF(AND(career_stage="HP",teacher_type="TB"),VLOOKUP(B18,TBHPI[],COLUMNS(TBHPI[[Strand]:[Weight]]),FALSE),0)))),0)</f>
        <v>0</v>
      </c>
      <c r="U18" s="94" t="s">
        <v>1185</v>
      </c>
      <c r="V18" s="391" t="str">
        <f ca="1">IFERROR(IF($M18,IF(AND(career_stage="P",teacher_type="R"),INDEX(INDIRECT("RPS["&amp;V$10&amp;"]"),MATCH($H18,RPS[helper],0),1), IF(AND(career_stage="HP",teacher_type="R"), INDEX(INDIRECT("RHPS["&amp;V$10&amp;"]"),MATCH($H18,RHPS[helper],0),1), IF(AND(career_stage="P",teacher_type="TB"),INDEX(INDIRECT("TBPS["&amp;V$10&amp;"]"),MATCH($H18,TBPS[helper],0),1), IF(AND(career_stage="HP",teacher_type="TB"),INDEX(INDIRECT("TBHPS["&amp;V$10&amp;"]"),MATCH($H18,TBHPS[helper],0),1),"")))),""),"")</f>
        <v/>
      </c>
      <c r="W18" s="391" t="str">
        <f ca="1">IFERROR(IF($M18,IF(AND(career_stage="P",teacher_type="R"),INDEX(INDIRECT("RPS["&amp;W$10&amp;"]"),MATCH($H18,RPS[helper],0),1), IF(AND(career_stage="HP",teacher_type="R"), INDEX(INDIRECT("RHPS["&amp;W$10&amp;"]"),MATCH($H18,RHPS[helper],0),1), IF(AND(career_stage="P",teacher_type="TB"),INDEX(INDIRECT("TBPS["&amp;W$10&amp;"]"),MATCH($H18,TBPS[helper],0),1), IF(AND(career_stage="HP",teacher_type="TB"),INDEX(INDIRECT("TBHPS["&amp;W$10&amp;"]"),MATCH($H18,TBHPS[helper],0),1),"")))),""),"")</f>
        <v/>
      </c>
      <c r="X18" s="391" t="str">
        <f ca="1">IFERROR(IF($M18,IF(AND(career_stage="P",teacher_type="R"),INDEX(INDIRECT("RPS["&amp;X$10&amp;"]"),MATCH($H18,RPS[helper],0),1), IF(AND(career_stage="HP",teacher_type="R"), INDEX(INDIRECT("RHPS["&amp;X$10&amp;"]"),MATCH($H18,RHPS[helper],0),1), IF(AND(career_stage="P",teacher_type="TB"),INDEX(INDIRECT("TBPS["&amp;X$10&amp;"]"),MATCH($H18,TBPS[helper],0),1), IF(AND(career_stage="HP",teacher_type="TB"),INDEX(INDIRECT("TBHPS["&amp;X$10&amp;"]"),MATCH($H18,TBHPS[helper],0),1),"")))),""),"")</f>
        <v/>
      </c>
      <c r="Y18" s="391" t="str">
        <f ca="1">IFERROR(IF($M18,IF(AND(career_stage="P",teacher_type="R"),INDEX(INDIRECT("RPS["&amp;Y$10&amp;"]"),MATCH($H18,RPS[helper],0),1), IF(AND(career_stage="HP",teacher_type="R"), INDEX(INDIRECT("RHPS["&amp;Y$10&amp;"]"),MATCH($H18,RHPS[helper],0),1), IF(AND(career_stage="P",teacher_type="TB"),INDEX(INDIRECT("TBPS["&amp;Y$10&amp;"]"),MATCH($H18,TBPS[helper],0),1), IF(AND(career_stage="HP",teacher_type="TB"),INDEX(INDIRECT("TBHPS["&amp;Y$10&amp;"]"),MATCH($H18,TBHPS[helper],0),1),"")))),""),"")</f>
        <v/>
      </c>
      <c r="Z18" s="391" t="str">
        <f ca="1">IFERROR(IF($M18,IF(AND(career_stage="P",teacher_type="R"),INDEX(INDIRECT("RPS["&amp;Z$10&amp;"]"),MATCH($H18,RPS[helper],0),1), IF(AND(career_stage="HP",teacher_type="R"), INDEX(INDIRECT("RHPS["&amp;Z$10&amp;"]"),MATCH($H18,RHPS[helper],0),1), IF(AND(career_stage="P",teacher_type="TB"),INDEX(INDIRECT("TBPS["&amp;Z$10&amp;"]"),MATCH($H18,TBPS[helper],0),1), IF(AND(career_stage="HP",teacher_type="TB"),INDEX(INDIRECT("TBHPS["&amp;Z$10&amp;"]"),MATCH($H18,TBHPS[helper],0),1),"")))),""),"")</f>
        <v/>
      </c>
      <c r="AA18" s="392" t="str" cm="1">
        <f t="array" ref="AA18">IFERROR(INDEX(V18:Z18,6-AB18),"")</f>
        <v/>
      </c>
      <c r="AB18" s="680" t="str">
        <f>IF('Encoding Part 1'!AB24="","",'Encoding Part 1'!AB24)</f>
        <v/>
      </c>
      <c r="AC18" s="680" t="str">
        <f>IF('Encoding Part 1'!AC24="","",'Encoding Part 1'!AC24)</f>
        <v/>
      </c>
      <c r="AD18" s="680" t="str">
        <f>IF('Encoding Part 1'!AD24="","",'Encoding Part 1'!AD24)</f>
        <v/>
      </c>
      <c r="AE18" s="682">
        <f t="shared" ref="AE18" si="3">IFERROR(ROUNDDOWN(AVERAGE($AB18:$AD18),3),0)</f>
        <v>0</v>
      </c>
      <c r="AF18" s="661">
        <f t="shared" ref="AF18" si="4">ROUNDDOWN($AE18*$T18,3)</f>
        <v>0</v>
      </c>
      <c r="AG18" s="5"/>
    </row>
    <row r="19" spans="1:33" hidden="1" x14ac:dyDescent="0.25">
      <c r="A19" s="92">
        <v>3</v>
      </c>
      <c r="B19" s="99" t="str" cm="1">
        <f t="array" ref="B19">IFERROR(IF(AND(teacher_type="R",career_stage="P"),INDEX(RPI[Strand],$A19),IF(AND(teacher_type="R",career_stage="HP"),INDEX(RHPI[Strand],$A19), IF(AND(teacher_type="TB",career_stage="P"),INDEX(TBPI[Strand],$A19), IF(AND(teacher_type="TB",career_stage="HP"),INDEX(TBHPI[Strand],$A19),0)))),0)</f>
        <v>1.3.2</v>
      </c>
      <c r="C19" s="99">
        <f>IFERROR(IF(AND(teacher_type="R",career_stage="P"),VLOOKUP($B19,RPI[[Strand]:[Domain]],COLUMNS(RPI[[Strand]:[Domain]]),FALSE), IF(AND(teacher_type="R",career_stage="HP"),VLOOKUP($B19,RHPI[[Strand]:[Domain]],COLUMNS(RHPI[[Strand]:[Domain]]),FALSE), IF(AND(teacher_type="TB",career_stage="P"),VLOOKUP($B19,TBPI[[Strand]:[Domain]],COLUMNS(TBPI[[Strand]:[Domain]]),FALSE), IF(AND(teacher_type="TB",career_stage="HP"),VLOOKUP($B19,TBHPI[[Strand]:[Domain]],COLUMNS(TBHPI[[Strand]:[Domain]]),FALSE),"")))),"")</f>
        <v>1</v>
      </c>
      <c r="D19" s="99" t="b">
        <f>IFERROR(IF(AND(career_stage="P",teacher_type="R"),VLOOKUP(B19,RPI[],COLUMNS(RPI[[Strand]:[Selected]]),FALSE), IF(AND(career_stage="HP",teacher_type="R"),VLOOKUP(B19,RHPI[],COLUMNS(RHPI[[Strand]:[Selected]]),FALSE), IF(AND(career_stage="P",teacher_type="TB"),VLOOKUP(B19,TBPI[],COLUMNS(TBPI[[Strand]:[Selected]]),FALSE), IF(AND(career_stage="HP",teacher_type="TB"),VLOOKUP(B19,TBHPI[],COLUMNS(TBHPI[[Strand]:[Selected]]),FALSE),FALSE)))),FALSE)</f>
        <v>0</v>
      </c>
      <c r="E19" s="92" t="b">
        <f>COUNTIFS($C$12:$C19,C19,$D$12:$D19,TRUE)=1</f>
        <v>0</v>
      </c>
      <c r="F19" s="92" t="b">
        <f>COUNTIFS($C$12:$C19,$C19,$B$12:$B19,$B19,$D$12:$D19,TRUE)=1</f>
        <v>0</v>
      </c>
      <c r="G19" s="99">
        <f>IF($F19,COUNTIFS($C$12:$C19,C19,$F$12:$F19,TRUE),0)</f>
        <v>0</v>
      </c>
      <c r="H19" s="99" t="str">
        <f t="shared" si="0"/>
        <v>1.3.2-E</v>
      </c>
      <c r="I19" s="99">
        <f>IF(AND(D19,NOT($A19=$A18)),(COUNTIF($D$11:$D18,TRUE)/3)+1,0)</f>
        <v>0</v>
      </c>
      <c r="J19" s="99" t="s">
        <v>1073</v>
      </c>
      <c r="K19" s="99" t="b">
        <f>IF(AND(teacher_type="R",career_stage="P"),IF(AND(COUNTIFS(RPS[Strand],$B19,RPS[QET],$J19)&gt;0,$D19),TRUE,FALSE), IF(AND(teacher_type="R",career_stage="HP"),IF(AND(COUNTIFS(RHPS[Strand],$B19,RHPS[QET],$J19)&gt;0,$D19),TRUE,FALSE), IF(AND(teacher_type="TB",career_stage="P"),IF(AND(COUNTIFS(TBPS[Strand],$B19,TBPS[QET],$J19)&gt;0,$D19),TRUE,FALSE), IF(AND(teacher_type="TB",career_stage="HP"),IF(AND(COUNTIFS(TBHPS[Strand],$B19,TBHPS[QET],$J19)&gt;0,$D19),TRUE,FALSE),FALSE))))</f>
        <v>0</v>
      </c>
      <c r="L19" s="99" t="str">
        <f>IF($K19,IF(AND(teacher_type="R",career_stage="P"),VLOOKUP($B19,RPI[],COLUMNS(RPI[[Strand]:[user_selected_coi_ncoi]]),FALSE), IF(AND(teacher_type="R",career_stage="HP"),VLOOKUP($B19,RHPI[],COLUMNS(RHPI[[Strand]:[user_selected_coi_ncoi]]),FALSE), IF(AND(teacher_type="TB",career_stage="P"),VLOOKUP($B19,TBPI[],COLUMNS(TBPI[[Strand]:[user_selected_coi_ncoi]]),FALSE), IF(AND(teacher_type="TB",career_stage="HP"),VLOOKUP($B19,TBHPI[],COLUMNS(TBHPI[[Strand]:[user_selected_coi_ncoi]]),FALSE),"")))),"")</f>
        <v/>
      </c>
      <c r="M19" s="99" t="b">
        <f>IF(AND(teacher_type="R",career_stage="P"),IF(AND(COUNTIFS(RPS[Strand],$B19,RPS[QET],M$11)&gt;0,$D19),TRUE,FALSE),IF(AND(teacher_type="R",career_stage="HP"),IF(AND(COUNTIFS(RHPS[Strand],$B19,RHPS[QET],M$11)&gt;0,$D19),TRUE,FALSE), IF(AND(teacher_type="TB",career_stage="P"),IF(AND(COUNTIFS(TBPS[Strand],$B19,TBPS[QET],M$11)&gt;0,$D19),TRUE,FALSE), IF(AND(teacher_type="TB",career_stage="HP"),IF(AND(COUNTIFS(TBHPS[Strand],$B19,TBHPS[QET],M$11)&gt;0,$D19),TRUE,FALSE),FALSE))))</f>
        <v>0</v>
      </c>
      <c r="N19" s="99" t="b">
        <f>IF(AND(teacher_type="R",career_stage="P"),IF(AND(COUNTIFS(RPS[Strand],$B19,RPS[QET],N$11)&gt;0,$D19),TRUE,FALSE),IF(AND(teacher_type="R",career_stage="HP"),IF(AND(COUNTIFS(RHPS[Strand],$B19,RHPS[QET],N$11)&gt;0,$D19),TRUE,FALSE), IF(AND(teacher_type="TB",career_stage="P"),IF(AND(COUNTIFS(TBPS[Strand],$B19,TBPS[QET],N$11)&gt;0,$D19),TRUE,FALSE), IF(AND(teacher_type="TB",career_stage="HP"),IF(AND(COUNTIFS(TBHPS[Strand],$B19,TBHPS[QET],N$11)&gt;0,$D19),TRUE,FALSE),FALSE))))</f>
        <v>0</v>
      </c>
      <c r="O19" s="99" t="b">
        <f>IF(AND(teacher_type="R",career_stage="P"),IF(AND(COUNTIFS(RPS[Strand],$B19,RPS[QET],O$11)&gt;0,$D19),TRUE,FALSE),IF(AND(teacher_type="R",career_stage="HP"),IF(AND(COUNTIFS(RHPS[Strand],$B19,RHPS[QET],O$11)&gt;0,$D19),TRUE,FALSE), IF(AND(teacher_type="TB",career_stage="P"),IF(AND(COUNTIFS(TBPS[Strand],$B19,TBPS[QET],O$11)&gt;0,$D19),TRUE,FALSE), IF(AND(teacher_type="TB",career_stage="HP"),IF(AND(COUNTIFS(TBHPS[Strand],$B19,TBHPS[QET],O$11)&gt;0,$D19),TRUE,FALSE),FALSE))))</f>
        <v>0</v>
      </c>
      <c r="P19" s="710"/>
      <c r="Q19" s="686"/>
      <c r="R19" s="663"/>
      <c r="S19" s="664"/>
      <c r="T19" s="684"/>
      <c r="U19" s="94" t="s">
        <v>1186</v>
      </c>
      <c r="V19" s="391" t="str">
        <f ca="1">IFERROR(IF($N19,IF(AND(career_stage="P",teacher_type="R"),INDEX(INDIRECT("RPS["&amp;V$10&amp;"]"),MATCH($H19,RPS[helper],0),1), IF(AND(career_stage="HP",teacher_type="R"), INDEX(INDIRECT("RHPS["&amp;V$10&amp;"]"),MATCH($H19,RHPS[helper],0),1), IF(AND(career_stage="P",teacher_type="TB"),INDEX(INDIRECT("TBPS["&amp;V$10&amp;"]"),MATCH($H19,TBPS[helper],0),1), IF(AND(career_stage="HP",teacher_type="TB"),INDEX(INDIRECT("TBHPS["&amp;V$10&amp;"]"),MATCH($H19,TBHPS[helper],0),1),"")))),""),"")</f>
        <v/>
      </c>
      <c r="W19" s="391" t="str">
        <f ca="1">IFERROR(IF($N19,IF(AND(career_stage="P",teacher_type="R"),INDEX(INDIRECT("RPS["&amp;W$10&amp;"]"),MATCH($H19,RPS[helper],0),1), IF(AND(career_stage="HP",teacher_type="R"), INDEX(INDIRECT("RHPS["&amp;W$10&amp;"]"),MATCH($H19,RHPS[helper],0),1), IF(AND(career_stage="P",teacher_type="TB"),INDEX(INDIRECT("TBPS["&amp;W$10&amp;"]"),MATCH($H19,TBPS[helper],0),1), IF(AND(career_stage="HP",teacher_type="TB"),INDEX(INDIRECT("TBHPS["&amp;W$10&amp;"]"),MATCH($H19,TBHPS[helper],0),1),"")))),""),"")</f>
        <v/>
      </c>
      <c r="X19" s="391" t="str">
        <f ca="1">IFERROR(IF($N19,IF(AND(career_stage="P",teacher_type="R"),INDEX(INDIRECT("RPS["&amp;X$10&amp;"]"),MATCH($H19,RPS[helper],0),1), IF(AND(career_stage="HP",teacher_type="R"), INDEX(INDIRECT("RHPS["&amp;X$10&amp;"]"),MATCH($H19,RHPS[helper],0),1), IF(AND(career_stage="P",teacher_type="TB"),INDEX(INDIRECT("TBPS["&amp;X$10&amp;"]"),MATCH($H19,TBPS[helper],0),1), IF(AND(career_stage="HP",teacher_type="TB"),INDEX(INDIRECT("TBHPS["&amp;X$10&amp;"]"),MATCH($H19,TBHPS[helper],0),1),"")))),""),"")</f>
        <v/>
      </c>
      <c r="Y19" s="391" t="str">
        <f ca="1">IFERROR(IF($N19,IF(AND(career_stage="P",teacher_type="R"),INDEX(INDIRECT("RPS["&amp;Y$10&amp;"]"),MATCH($H19,RPS[helper],0),1), IF(AND(career_stage="HP",teacher_type="R"), INDEX(INDIRECT("RHPS["&amp;Y$10&amp;"]"),MATCH($H19,RHPS[helper],0),1), IF(AND(career_stage="P",teacher_type="TB"),INDEX(INDIRECT("TBPS["&amp;Y$10&amp;"]"),MATCH($H19,TBPS[helper],0),1), IF(AND(career_stage="HP",teacher_type="TB"),INDEX(INDIRECT("TBHPS["&amp;Y$10&amp;"]"),MATCH($H19,TBHPS[helper],0),1),"")))),""),"")</f>
        <v/>
      </c>
      <c r="Z19" s="391" t="str">
        <f ca="1">IFERROR(IF($N19,IF(AND(career_stage="P",teacher_type="R"),INDEX(INDIRECT("RPS["&amp;Z$10&amp;"]"),MATCH($H19,RPS[helper],0),1), IF(AND(career_stage="HP",teacher_type="R"), INDEX(INDIRECT("RHPS["&amp;Z$10&amp;"]"),MATCH($H19,RHPS[helper],0),1), IF(AND(career_stage="P",teacher_type="TB"),INDEX(INDIRECT("TBPS["&amp;Z$10&amp;"]"),MATCH($H19,TBPS[helper],0),1), IF(AND(career_stage="HP",teacher_type="TB"),INDEX(INDIRECT("TBHPS["&amp;Z$10&amp;"]"),MATCH($H19,TBHPS[helper],0),1),"")))),""),"")</f>
        <v/>
      </c>
      <c r="AA19" s="392" t="str" cm="1">
        <f t="array" ref="AA19">IFERROR(INDEX(V19:Z19,6-AC18),"")</f>
        <v/>
      </c>
      <c r="AB19" s="680"/>
      <c r="AC19" s="680"/>
      <c r="AD19" s="680"/>
      <c r="AE19" s="682"/>
      <c r="AF19" s="661"/>
      <c r="AG19" s="5"/>
    </row>
    <row r="20" spans="1:33" hidden="1" x14ac:dyDescent="0.25">
      <c r="A20" s="92">
        <v>3</v>
      </c>
      <c r="B20" s="99" t="str" cm="1">
        <f t="array" ref="B20">IFERROR(IF(AND(teacher_type="R",career_stage="P"),INDEX(RPI[Strand],$A20),IF(AND(teacher_type="R",career_stage="HP"),INDEX(RHPI[Strand],$A20), IF(AND(teacher_type="TB",career_stage="P"),INDEX(TBPI[Strand],$A20), IF(AND(teacher_type="TB",career_stage="HP"),INDEX(TBHPI[Strand],$A20),0)))),0)</f>
        <v>1.3.2</v>
      </c>
      <c r="C20" s="99">
        <f>IFERROR(IF(AND(teacher_type="R",career_stage="P"),VLOOKUP($B20,RPI[[Strand]:[Domain]],COLUMNS(RPI[[Strand]:[Domain]]),FALSE), IF(AND(teacher_type="R",career_stage="HP"),VLOOKUP($B20,RHPI[[Strand]:[Domain]],COLUMNS(RHPI[[Strand]:[Domain]]),FALSE), IF(AND(teacher_type="TB",career_stage="P"),VLOOKUP($B20,TBPI[[Strand]:[Domain]],COLUMNS(TBPI[[Strand]:[Domain]]),FALSE), IF(AND(teacher_type="TB",career_stage="HP"),VLOOKUP($B20,TBHPI[[Strand]:[Domain]],COLUMNS(TBHPI[[Strand]:[Domain]]),FALSE),"")))),"")</f>
        <v>1</v>
      </c>
      <c r="D20" s="99" t="b">
        <f>IFERROR(IF(AND(career_stage="P",teacher_type="R"),VLOOKUP(B20,RPI[],COLUMNS(RPI[[Strand]:[Selected]]),FALSE), IF(AND(career_stage="HP",teacher_type="R"),VLOOKUP(B20,RHPI[],COLUMNS(RHPI[[Strand]:[Selected]]),FALSE), IF(AND(career_stage="P",teacher_type="TB"),VLOOKUP(B20,TBPI[],COLUMNS(TBPI[[Strand]:[Selected]]),FALSE), IF(AND(career_stage="HP",teacher_type="TB"),VLOOKUP(B20,TBHPI[],COLUMNS(TBHPI[[Strand]:[Selected]]),FALSE),FALSE)))),FALSE)</f>
        <v>0</v>
      </c>
      <c r="E20" s="92" t="b">
        <f>COUNTIFS($C$12:$C20,C20,$D$12:$D20,TRUE)=1</f>
        <v>0</v>
      </c>
      <c r="F20" s="92" t="b">
        <f>COUNTIFS($C$12:$C20,$C20,$B$12:$B20,$B20,$D$12:$D20,TRUE)=1</f>
        <v>0</v>
      </c>
      <c r="G20" s="99">
        <f>IF($F20,COUNTIFS($C$12:$C20,C20,$F$12:$F20,TRUE),0)</f>
        <v>0</v>
      </c>
      <c r="H20" s="99" t="str">
        <f t="shared" si="0"/>
        <v>1.3.2-T</v>
      </c>
      <c r="I20" s="99">
        <f>IF(AND(D20,NOT($A20=$A19)),(COUNTIF($D$11:$D19,TRUE)/3)+1,0)</f>
        <v>0</v>
      </c>
      <c r="J20" s="99" t="s">
        <v>1014</v>
      </c>
      <c r="K20" s="99" t="b">
        <f>IF(AND(teacher_type="R",career_stage="P"),IF(AND(COUNTIFS(RPS[Strand],$B20,RPS[QET],$J20)&gt;0,$D20),TRUE,FALSE), IF(AND(teacher_type="R",career_stage="HP"),IF(AND(COUNTIFS(RHPS[Strand],$B20,RHPS[QET],$J20)&gt;0,$D20),TRUE,FALSE), IF(AND(teacher_type="TB",career_stage="P"),IF(AND(COUNTIFS(TBPS[Strand],$B20,TBPS[QET],$J20)&gt;0,$D20),TRUE,FALSE), IF(AND(teacher_type="TB",career_stage="HP"),IF(AND(COUNTIFS(TBHPS[Strand],$B20,TBHPS[QET],$J20)&gt;0,$D20),TRUE,FALSE),FALSE))))</f>
        <v>0</v>
      </c>
      <c r="L20" s="99" t="str">
        <f>IF($K20,IF(AND(teacher_type="R",career_stage="P"),VLOOKUP($B20,RPI[],COLUMNS(RPI[[Strand]:[user_selected_coi_ncoi]]),FALSE), IF(AND(teacher_type="R",career_stage="HP"),VLOOKUP($B20,RHPI[],COLUMNS(RHPI[[Strand]:[user_selected_coi_ncoi]]),FALSE), IF(AND(teacher_type="TB",career_stage="P"),VLOOKUP($B20,TBPI[],COLUMNS(TBPI[[Strand]:[user_selected_coi_ncoi]]),FALSE), IF(AND(teacher_type="TB",career_stage="HP"),VLOOKUP($B20,TBHPI[],COLUMNS(TBHPI[[Strand]:[user_selected_coi_ncoi]]),FALSE),"")))),"")</f>
        <v/>
      </c>
      <c r="M20" s="99" t="b">
        <f>IF(AND(teacher_type="R",career_stage="P"),IF(AND(COUNTIFS(RPS[Strand],$B20,RPS[QET],M$11)&gt;0,$D20),TRUE,FALSE),IF(AND(teacher_type="R",career_stage="HP"),IF(AND(COUNTIFS(RHPS[Strand],$B20,RHPS[QET],M$11)&gt;0,$D20),TRUE,FALSE), IF(AND(teacher_type="TB",career_stage="P"),IF(AND(COUNTIFS(TBPS[Strand],$B20,TBPS[QET],M$11)&gt;0,$D20),TRUE,FALSE), IF(AND(teacher_type="TB",career_stage="HP"),IF(AND(COUNTIFS(TBHPS[Strand],$B20,TBHPS[QET],M$11)&gt;0,$D20),TRUE,FALSE),FALSE))))</f>
        <v>0</v>
      </c>
      <c r="N20" s="99" t="b">
        <f>IF(AND(teacher_type="R",career_stage="P"),IF(AND(COUNTIFS(RPS[Strand],$B20,RPS[QET],N$11)&gt;0,$D20),TRUE,FALSE),IF(AND(teacher_type="R",career_stage="HP"),IF(AND(COUNTIFS(RHPS[Strand],$B20,RHPS[QET],N$11)&gt;0,$D20),TRUE,FALSE), IF(AND(teacher_type="TB",career_stage="P"),IF(AND(COUNTIFS(TBPS[Strand],$B20,TBPS[QET],N$11)&gt;0,$D20),TRUE,FALSE), IF(AND(teacher_type="TB",career_stage="HP"),IF(AND(COUNTIFS(TBHPS[Strand],$B20,TBHPS[QET],N$11)&gt;0,$D20),TRUE,FALSE),FALSE))))</f>
        <v>0</v>
      </c>
      <c r="O20" s="99" t="b">
        <f>IF(AND(teacher_type="R",career_stage="P"),IF(AND(COUNTIFS(RPS[Strand],$B20,RPS[QET],O$11)&gt;0,$D20),TRUE,FALSE),IF(AND(teacher_type="R",career_stage="HP"),IF(AND(COUNTIFS(RHPS[Strand],$B20,RHPS[QET],O$11)&gt;0,$D20),TRUE,FALSE), IF(AND(teacher_type="TB",career_stage="P"),IF(AND(COUNTIFS(TBPS[Strand],$B20,TBPS[QET],O$11)&gt;0,$D20),TRUE,FALSE), IF(AND(teacher_type="TB",career_stage="HP"),IF(AND(COUNTIFS(TBHPS[Strand],$B20,TBHPS[QET],O$11)&gt;0,$D20),TRUE,FALSE),FALSE))))</f>
        <v>0</v>
      </c>
      <c r="P20" s="710"/>
      <c r="Q20" s="687"/>
      <c r="R20" s="663"/>
      <c r="S20" s="664"/>
      <c r="T20" s="684"/>
      <c r="U20" s="94" t="s">
        <v>1187</v>
      </c>
      <c r="V20" s="391" t="str">
        <f ca="1">IFERROR(IF($O20,IF(AND(career_stage="P",teacher_type="R"),INDEX(INDIRECT("RPS["&amp;V$10&amp;"]"),MATCH($H20,RPS[helper],0),1), IF(AND(career_stage="HP",teacher_type="R"), INDEX(INDIRECT("RHPS["&amp;V$10&amp;"]"),MATCH($H20,RHPS[helper],0),1), IF(AND(career_stage="P",teacher_type="TB"),INDEX(INDIRECT("TBPS["&amp;V$10&amp;"]"),MATCH($H20,TBPS[helper],0),1), IF(AND(career_stage="HP",teacher_type="TB"),INDEX(INDIRECT("TBHPS["&amp;V$10&amp;"]"),MATCH($H20,TBHPS[helper],0),1),"")))),""),"")</f>
        <v/>
      </c>
      <c r="W20" s="391" t="str">
        <f ca="1">IFERROR(IF($O20,IF(AND(career_stage="P",teacher_type="R"),INDEX(INDIRECT("RPS["&amp;W$10&amp;"]"),MATCH($H20,RPS[helper],0),1), IF(AND(career_stage="HP",teacher_type="R"), INDEX(INDIRECT("RHPS["&amp;W$10&amp;"]"),MATCH($H20,RHPS[helper],0),1), IF(AND(career_stage="P",teacher_type="TB"),INDEX(INDIRECT("TBPS["&amp;W$10&amp;"]"),MATCH($H20,TBPS[helper],0),1), IF(AND(career_stage="HP",teacher_type="TB"),INDEX(INDIRECT("TBHPS["&amp;W$10&amp;"]"),MATCH($H20,TBHPS[helper],0),1),"")))),""),"")</f>
        <v/>
      </c>
      <c r="X20" s="391" t="str">
        <f ca="1">IFERROR(IF($O20,IF(AND(career_stage="P",teacher_type="R"),INDEX(INDIRECT("RPS["&amp;X$10&amp;"]"),MATCH($H20,RPS[helper],0),1), IF(AND(career_stage="HP",teacher_type="R"), INDEX(INDIRECT("RHPS["&amp;X$10&amp;"]"),MATCH($H20,RHPS[helper],0),1), IF(AND(career_stage="P",teacher_type="TB"),INDEX(INDIRECT("TBPS["&amp;X$10&amp;"]"),MATCH($H20,TBPS[helper],0),1), IF(AND(career_stage="HP",teacher_type="TB"),INDEX(INDIRECT("TBHPS["&amp;X$10&amp;"]"),MATCH($H20,TBHPS[helper],0),1),"")))),""),"")</f>
        <v/>
      </c>
      <c r="Y20" s="391" t="str">
        <f ca="1">IFERROR(IF($O20,IF(AND(career_stage="P",teacher_type="R"),INDEX(INDIRECT("RPS["&amp;Y$10&amp;"]"),MATCH($H20,RPS[helper],0),1), IF(AND(career_stage="HP",teacher_type="R"), INDEX(INDIRECT("RHPS["&amp;Y$10&amp;"]"),MATCH($H20,RHPS[helper],0),1), IF(AND(career_stage="P",teacher_type="TB"),INDEX(INDIRECT("TBPS["&amp;Y$10&amp;"]"),MATCH($H20,TBPS[helper],0),1), IF(AND(career_stage="HP",teacher_type="TB"),INDEX(INDIRECT("TBHPS["&amp;Y$10&amp;"]"),MATCH($H20,TBHPS[helper],0),1),"")))),""),"")</f>
        <v/>
      </c>
      <c r="Z20" s="391" t="str">
        <f ca="1">IFERROR(IF($O20,IF(AND(career_stage="P",teacher_type="R"),INDEX(INDIRECT("RPS["&amp;Z$10&amp;"]"),MATCH($H20,RPS[helper],0),1), IF(AND(career_stage="HP",teacher_type="R"), INDEX(INDIRECT("RHPS["&amp;Z$10&amp;"]"),MATCH($H20,RHPS[helper],0),1), IF(AND(career_stage="P",teacher_type="TB"),INDEX(INDIRECT("TBPS["&amp;Z$10&amp;"]"),MATCH($H20,TBPS[helper],0),1), IF(AND(career_stage="HP",teacher_type="TB"),INDEX(INDIRECT("TBHPS["&amp;Z$10&amp;"]"),MATCH($H20,TBHPS[helper],0),1),"")))),""),"")</f>
        <v/>
      </c>
      <c r="AA20" s="391" t="str" cm="1">
        <f t="array" ref="AA20">IFERROR(INDEX(V20:Z20,6-AD18),"")</f>
        <v/>
      </c>
      <c r="AB20" s="680"/>
      <c r="AC20" s="680"/>
      <c r="AD20" s="680"/>
      <c r="AE20" s="682"/>
      <c r="AF20" s="661"/>
      <c r="AG20" s="5"/>
    </row>
    <row r="21" spans="1:33" ht="102" x14ac:dyDescent="0.25">
      <c r="A21" s="92">
        <v>4</v>
      </c>
      <c r="B21" s="99" t="str" cm="1">
        <f t="array" ref="B21">IFERROR(IF(AND(teacher_type="R",career_stage="P"),INDEX(RPI[Strand],$A21),IF(AND(teacher_type="R",career_stage="HP"),INDEX(RHPI[Strand],$A21), IF(AND(teacher_type="TB",career_stage="P"),INDEX(TBPI[Strand],$A21), IF(AND(teacher_type="TB",career_stage="HP"),INDEX(TBHPI[Strand],$A21),0)))),0)</f>
        <v>1.4.2</v>
      </c>
      <c r="C21" s="99">
        <f>IFERROR(IF(AND(teacher_type="R",career_stage="P"),VLOOKUP($B21,RPI[[Strand]:[Domain]],COLUMNS(RPI[[Strand]:[Domain]]),FALSE), IF(AND(teacher_type="R",career_stage="HP"),VLOOKUP($B21,RHPI[[Strand]:[Domain]],COLUMNS(RHPI[[Strand]:[Domain]]),FALSE), IF(AND(teacher_type="TB",career_stage="P"),VLOOKUP($B21,TBPI[[Strand]:[Domain]],COLUMNS(TBPI[[Strand]:[Domain]]),FALSE), IF(AND(teacher_type="TB",career_stage="HP"),VLOOKUP($B21,TBHPI[[Strand]:[Domain]],COLUMNS(TBHPI[[Strand]:[Domain]]),FALSE),"")))),"")</f>
        <v>1</v>
      </c>
      <c r="D21" s="99" t="b">
        <f>IFERROR(IF(AND(career_stage="P",teacher_type="R"),VLOOKUP(B21,RPI[],COLUMNS(RPI[[Strand]:[Selected]]),FALSE), IF(AND(career_stage="HP",teacher_type="R"),VLOOKUP(B21,RHPI[],COLUMNS(RHPI[[Strand]:[Selected]]),FALSE), IF(AND(career_stage="P",teacher_type="TB"),VLOOKUP(B21,TBPI[],COLUMNS(TBPI[[Strand]:[Selected]]),FALSE), IF(AND(career_stage="HP",teacher_type="TB"),VLOOKUP(B21,TBHPI[],COLUMNS(TBHPI[[Strand]:[Selected]]),FALSE),FALSE)))),FALSE)</f>
        <v>1</v>
      </c>
      <c r="E21" s="92" t="b">
        <f>COUNTIFS($C$12:$C21,C21,$D$12:$D21,TRUE)=1</f>
        <v>0</v>
      </c>
      <c r="F21" s="92" t="b">
        <f>COUNTIFS($C$12:$C21,$C21,$B$12:$B21,$B21,$D$12:$D21,TRUE)=1</f>
        <v>1</v>
      </c>
      <c r="G21" s="99">
        <f>IF($F21,COUNTIFS($C$12:$C21,C21,$F$12:$F21,TRUE),0)</f>
        <v>2</v>
      </c>
      <c r="H21" s="99" t="str">
        <f t="shared" si="0"/>
        <v>1.4.2-Q-COI</v>
      </c>
      <c r="I21" s="99">
        <f>IF(AND(D21,NOT($A21=$A20)),(COUNTIF($D$11:$D20,TRUE)/3)+1,0)</f>
        <v>2</v>
      </c>
      <c r="J21" s="99" t="s">
        <v>1012</v>
      </c>
      <c r="K21" s="99" t="b">
        <f>IF(AND(teacher_type="R",career_stage="P"),IF(AND(COUNTIFS(RPS[Strand],$B21,RPS[QET],$J21)&gt;0,$D21),TRUE,FALSE), IF(AND(teacher_type="R",career_stage="HP"),IF(AND(COUNTIFS(RHPS[Strand],$B21,RHPS[QET],$J21)&gt;0,$D21),TRUE,FALSE), IF(AND(teacher_type="TB",career_stage="P"),IF(AND(COUNTIFS(TBPS[Strand],$B21,TBPS[QET],$J21)&gt;0,$D21),TRUE,FALSE), IF(AND(teacher_type="TB",career_stage="HP"),IF(AND(COUNTIFS(TBHPS[Strand],$B21,TBHPS[QET],$J21)&gt;0,$D21),TRUE,FALSE),FALSE))))</f>
        <v>1</v>
      </c>
      <c r="L21" s="99" t="str">
        <f>IF($K21,IF(AND(teacher_type="R",career_stage="P"),VLOOKUP($B21,RPI[],COLUMNS(RPI[[Strand]:[user_selected_coi_ncoi]]),FALSE), IF(AND(teacher_type="R",career_stage="HP"),VLOOKUP($B21,RHPI[],COLUMNS(RHPI[[Strand]:[user_selected_coi_ncoi]]),FALSE), IF(AND(teacher_type="TB",career_stage="P"),VLOOKUP($B21,TBPI[],COLUMNS(TBPI[[Strand]:[user_selected_coi_ncoi]]),FALSE), IF(AND(teacher_type="TB",career_stage="HP"),VLOOKUP($B21,TBHPI[],COLUMNS(TBHPI[[Strand]:[user_selected_coi_ncoi]]),FALSE),"")))),"")</f>
        <v>COI</v>
      </c>
      <c r="M21" s="99" t="b">
        <f>IF(AND(teacher_type="R",career_stage="P"),IF(AND(COUNTIFS(RPS[Strand],$B21,RPS[QET],M$11)&gt;0,$D21),TRUE,FALSE),IF(AND(teacher_type="R",career_stage="HP"),IF(AND(COUNTIFS(RHPS[Strand],$B21,RHPS[QET],M$11)&gt;0,$D21),TRUE,FALSE), IF(AND(teacher_type="TB",career_stage="P"),IF(AND(COUNTIFS(TBPS[Strand],$B21,TBPS[QET],M$11)&gt;0,$D21),TRUE,FALSE), IF(AND(teacher_type="TB",career_stage="HP"),IF(AND(COUNTIFS(TBHPS[Strand],$B21,TBHPS[QET],M$11)&gt;0,$D21),TRUE,FALSE),FALSE))))</f>
        <v>1</v>
      </c>
      <c r="N21" s="99" t="b">
        <f>IF(AND(teacher_type="R",career_stage="P"),IF(AND(COUNTIFS(RPS[Strand],$B21,RPS[QET],N$11)&gt;0,$D21),TRUE,FALSE),IF(AND(teacher_type="R",career_stage="HP"),IF(AND(COUNTIFS(RHPS[Strand],$B21,RHPS[QET],N$11)&gt;0,$D21),TRUE,FALSE), IF(AND(teacher_type="TB",career_stage="P"),IF(AND(COUNTIFS(TBPS[Strand],$B21,TBPS[QET],N$11)&gt;0,$D21),TRUE,FALSE), IF(AND(teacher_type="TB",career_stage="HP"),IF(AND(COUNTIFS(TBHPS[Strand],$B21,TBHPS[QET],N$11)&gt;0,$D21),TRUE,FALSE),FALSE))))</f>
        <v>1</v>
      </c>
      <c r="O21" s="99" t="b">
        <f>IF(AND(teacher_type="R",career_stage="P"),IF(AND(COUNTIFS(RPS[Strand],$B21,RPS[QET],O$11)&gt;0,$D21),TRUE,FALSE),IF(AND(teacher_type="R",career_stage="HP"),IF(AND(COUNTIFS(RHPS[Strand],$B21,RHPS[QET],O$11)&gt;0,$D21),TRUE,FALSE), IF(AND(teacher_type="TB",career_stage="P"),IF(AND(COUNTIFS(TBPS[Strand],$B21,TBPS[QET],O$11)&gt;0,$D21),TRUE,FALSE), IF(AND(teacher_type="TB",career_stage="HP"),IF(AND(COUNTIFS(TBHPS[Strand],$B21,TBHPS[QET],O$11)&gt;0,$D21),TRUE,FALSE),FALSE))))</f>
        <v>0</v>
      </c>
      <c r="P21" s="710"/>
      <c r="Q21" s="685" t="str">
        <f>IFERROR(IF(E21,IF(C21="Plus Factor","Plus Factor",C21 &amp; ". " &amp; INDEX(Domains[Domain],MATCH(C21,Domains[Domain_code],0),1)),""),"")</f>
        <v/>
      </c>
      <c r="R21" s="688" t="str">
        <f>IFERROR(IF($F21,$I21 &amp; ". " &amp; IF(AND(career_stage="P",teacher_type="R"), INDEX(RPI[PPST Indicators],MATCH($B21,RPI[Strand],0),1), IF(AND(career_stage="HP",teacher_type="R"),INDEX(RHPI[PPST Indicators],MATCH($B21,RHPI[Strand],0),1), IF(AND(career_stage="P",teacher_type="TB"),INDEX(TBPI[PPST Indicators],MATCH($B21,TBPI[Strand],0),1), IF(AND(career_stage="HP",teacher_type="TB"),INDEX(TBHPI[PPST Indicators],MATCH($B21,TBHPI[Strand],0),1),"")))) &amp; IF(NOT(TRIM(LOWER($C21))="plus factor")," (PPST "&amp;B21&amp;")",""),""),"")</f>
        <v>2. Used a range of teaching strategies that enhance learner achievement in literacy and numeracy skills (PPST 1.4.2)</v>
      </c>
      <c r="S21" s="664" t="str" cm="1">
        <f t="array" ref="S21">demographics[rating_period]</f>
        <v>SY 2023-2024</v>
      </c>
      <c r="T21" s="684">
        <f>IFERROR(IF(AND(career_stage="P",teacher_type="R"),VLOOKUP(B21,RPI[],COLUMNS(RPI[[Strand]:[Weight]]),FALSE), IF(AND(career_stage="HP",teacher_type="R"),VLOOKUP(B21,RHPI[],COLUMNS(RHPI[[Strand]:[Weight]]),FALSE), IF(AND(career_stage="P",teacher_type="TB"),VLOOKUP(B21,TBPI[],COLUMNS(TBPI[[Strand]:[Weight]]),FALSE), IF(AND(career_stage="HP",teacher_type="TB"),VLOOKUP(B21,TBHPI[],COLUMNS(TBHPI[[Strand]:[Weight]]),FALSE),0)))),0)</f>
        <v>7.0000000000000007E-2</v>
      </c>
      <c r="U21" s="94" t="s">
        <v>1185</v>
      </c>
      <c r="V21" s="391" t="str">
        <f ca="1">IFERROR(IF($M21,IF(AND(career_stage="P",teacher_type="R"),INDEX(INDIRECT("RPS["&amp;V$10&amp;"]"),MATCH($H21,RPS[helper],0),1), IF(AND(career_stage="HP",teacher_type="R"), INDEX(INDIRECT("RHPS["&amp;V$10&amp;"]"),MATCH($H21,RHPS[helper],0),1), IF(AND(career_stage="P",teacher_type="TB"),INDEX(INDIRECT("TBPS["&amp;V$10&amp;"]"),MATCH($H21,TBPS[helper],0),1), IF(AND(career_stage="HP",teacher_type="TB"),INDEX(INDIRECT("TBHPS["&amp;V$10&amp;"]"),MATCH($H21,TBHPS[helper],0),1),"")))),""),"")</f>
        <v>Demonstrated Level 7 in the objective as shown in COT rating sheets / inter-observer agreement forms</v>
      </c>
      <c r="W21" s="391" t="str">
        <f ca="1">IFERROR(IF($M21,IF(AND(career_stage="P",teacher_type="R"),INDEX(INDIRECT("RPS["&amp;W$10&amp;"]"),MATCH($H21,RPS[helper],0),1), IF(AND(career_stage="HP",teacher_type="R"), INDEX(INDIRECT("RHPS["&amp;W$10&amp;"]"),MATCH($H21,RHPS[helper],0),1), IF(AND(career_stage="P",teacher_type="TB"),INDEX(INDIRECT("TBPS["&amp;W$10&amp;"]"),MATCH($H21,TBPS[helper],0),1), IF(AND(career_stage="HP",teacher_type="TB"),INDEX(INDIRECT("TBHPS["&amp;W$10&amp;"]"),MATCH($H21,TBHPS[helper],0),1),"")))),""),"")</f>
        <v>Demonstrated Level 6 in the objective as shown in COT rating sheets / inter-observer agreement forms</v>
      </c>
      <c r="X21" s="391" t="str">
        <f ca="1">IFERROR(IF($M21,IF(AND(career_stage="P",teacher_type="R"),INDEX(INDIRECT("RPS["&amp;X$10&amp;"]"),MATCH($H21,RPS[helper],0),1), IF(AND(career_stage="HP",teacher_type="R"), INDEX(INDIRECT("RHPS["&amp;X$10&amp;"]"),MATCH($H21,RHPS[helper],0),1), IF(AND(career_stage="P",teacher_type="TB"),INDEX(INDIRECT("TBPS["&amp;X$10&amp;"]"),MATCH($H21,TBPS[helper],0),1), IF(AND(career_stage="HP",teacher_type="TB"),INDEX(INDIRECT("TBHPS["&amp;X$10&amp;"]"),MATCH($H21,TBHPS[helper],0),1),"")))),""),"")</f>
        <v>Demonstrated Level 5 in the objective as shown in COT rating sheets / inter-observer agreement forms</v>
      </c>
      <c r="Y21" s="391" t="str">
        <f ca="1">IFERROR(IF($M21,IF(AND(career_stage="P",teacher_type="R"),INDEX(INDIRECT("RPS["&amp;Y$10&amp;"]"),MATCH($H21,RPS[helper],0),1), IF(AND(career_stage="HP",teacher_type="R"), INDEX(INDIRECT("RHPS["&amp;Y$10&amp;"]"),MATCH($H21,RHPS[helper],0),1), IF(AND(career_stage="P",teacher_type="TB"),INDEX(INDIRECT("TBPS["&amp;Y$10&amp;"]"),MATCH($H21,TBPS[helper],0),1), IF(AND(career_stage="HP",teacher_type="TB"),INDEX(INDIRECT("TBHPS["&amp;Y$10&amp;"]"),MATCH($H21,TBHPS[helper],0),1),"")))),""),"")</f>
        <v>Demonstrated Level 4 in the objective as shown in COT rating sheets / inter-observer agreement forms</v>
      </c>
      <c r="Z21" s="391" t="str">
        <f ca="1">IFERROR(IF($M21,IF(AND(career_stage="P",teacher_type="R"),INDEX(INDIRECT("RPS["&amp;Z$10&amp;"]"),MATCH($H21,RPS[helper],0),1), IF(AND(career_stage="HP",teacher_type="R"), INDEX(INDIRECT("RHPS["&amp;Z$10&amp;"]"),MATCH($H21,RHPS[helper],0),1), IF(AND(career_stage="P",teacher_type="TB"),INDEX(INDIRECT("TBPS["&amp;Z$10&amp;"]"),MATCH($H21,TBPS[helper],0),1), IF(AND(career_stage="HP",teacher_type="TB"),INDEX(INDIRECT("TBHPS["&amp;Z$10&amp;"]"),MATCH($H21,TBHPS[helper],0),1),"")))),""),"")</f>
        <v>Demonstrated Level 3 in the objective as shown in COT rating sheets / inter-observer agreement forms
or
No acceptable evidence was shown</v>
      </c>
      <c r="AA21" s="392" t="str" cm="1">
        <f t="array" aca="1" ref="AA21" ca="1">IFERROR(INDEX(V21:Z21,6-AB21),"")</f>
        <v>Demonstrated Level 7 in the objective as shown in COT rating sheets / inter-observer agreement forms</v>
      </c>
      <c r="AB21" s="680">
        <f>IF('Encoding Part 1'!AB25="","",'Encoding Part 1'!AB25)</f>
        <v>5</v>
      </c>
      <c r="AC21" s="680">
        <f>IF('Encoding Part 1'!AC25="","",'Encoding Part 1'!AC25)</f>
        <v>5</v>
      </c>
      <c r="AD21" s="680" t="str">
        <f>IF('Encoding Part 1'!AD25="","",'Encoding Part 1'!AD25)</f>
        <v/>
      </c>
      <c r="AE21" s="682">
        <f t="shared" ref="AE21" si="5">IFERROR(ROUNDDOWN(AVERAGE($AB21:$AD21),3),0)</f>
        <v>5</v>
      </c>
      <c r="AF21" s="661">
        <f t="shared" ref="AF21" si="6">ROUNDDOWN($AE21*$T21,3)</f>
        <v>0.35</v>
      </c>
      <c r="AG21" s="5"/>
    </row>
    <row r="22" spans="1:33" ht="38.25" x14ac:dyDescent="0.25">
      <c r="A22" s="92">
        <v>4</v>
      </c>
      <c r="B22" s="99" t="str" cm="1">
        <f t="array" ref="B22">IFERROR(IF(AND(teacher_type="R",career_stage="P"),INDEX(RPI[Strand],$A22),IF(AND(teacher_type="R",career_stage="HP"),INDEX(RHPI[Strand],$A22), IF(AND(teacher_type="TB",career_stage="P"),INDEX(TBPI[Strand],$A22), IF(AND(teacher_type="TB",career_stage="HP"),INDEX(TBHPI[Strand],$A22),0)))),0)</f>
        <v>1.4.2</v>
      </c>
      <c r="C22" s="99">
        <f>IFERROR(IF(AND(teacher_type="R",career_stage="P"),VLOOKUP($B22,RPI[[Strand]:[Domain]],COLUMNS(RPI[[Strand]:[Domain]]),FALSE), IF(AND(teacher_type="R",career_stage="HP"),VLOOKUP($B22,RHPI[[Strand]:[Domain]],COLUMNS(RHPI[[Strand]:[Domain]]),FALSE), IF(AND(teacher_type="TB",career_stage="P"),VLOOKUP($B22,TBPI[[Strand]:[Domain]],COLUMNS(TBPI[[Strand]:[Domain]]),FALSE), IF(AND(teacher_type="TB",career_stage="HP"),VLOOKUP($B22,TBHPI[[Strand]:[Domain]],COLUMNS(TBHPI[[Strand]:[Domain]]),FALSE),"")))),"")</f>
        <v>1</v>
      </c>
      <c r="D22" s="99" t="b">
        <f>IFERROR(IF(AND(career_stage="P",teacher_type="R"),VLOOKUP(B22,RPI[],COLUMNS(RPI[[Strand]:[Selected]]),FALSE), IF(AND(career_stage="HP",teacher_type="R"),VLOOKUP(B22,RHPI[],COLUMNS(RHPI[[Strand]:[Selected]]),FALSE), IF(AND(career_stage="P",teacher_type="TB"),VLOOKUP(B22,TBPI[],COLUMNS(TBPI[[Strand]:[Selected]]),FALSE), IF(AND(career_stage="HP",teacher_type="TB"),VLOOKUP(B22,TBHPI[],COLUMNS(TBHPI[[Strand]:[Selected]]),FALSE),FALSE)))),FALSE)</f>
        <v>1</v>
      </c>
      <c r="E22" s="92" t="b">
        <f>COUNTIFS($C$12:$C22,C22,$D$12:$D22,TRUE)=1</f>
        <v>0</v>
      </c>
      <c r="F22" s="92" t="b">
        <f>COUNTIFS($C$12:$C22,$C22,$B$12:$B22,$B22,$D$12:$D22,TRUE)=1</f>
        <v>0</v>
      </c>
      <c r="G22" s="99">
        <f>IF($F22,COUNTIFS($C$12:$C22,C22,$F$12:$F22,TRUE),0)</f>
        <v>0</v>
      </c>
      <c r="H22" s="99" t="str">
        <f t="shared" si="0"/>
        <v>1.4.2-E-COI</v>
      </c>
      <c r="I22" s="99">
        <f>IF(AND(D22,NOT($A22=$A21)),(COUNTIF($D$11:$D21,TRUE)/3)+1,0)</f>
        <v>0</v>
      </c>
      <c r="J22" s="99" t="s">
        <v>1073</v>
      </c>
      <c r="K22" s="99" t="b">
        <f>IF(AND(teacher_type="R",career_stage="P"),IF(AND(COUNTIFS(RPS[Strand],$B22,RPS[QET],$J22)&gt;0,$D22),TRUE,FALSE), IF(AND(teacher_type="R",career_stage="HP"),IF(AND(COUNTIFS(RHPS[Strand],$B22,RHPS[QET],$J22)&gt;0,$D22),TRUE,FALSE), IF(AND(teacher_type="TB",career_stage="P"),IF(AND(COUNTIFS(TBPS[Strand],$B22,TBPS[QET],$J22)&gt;0,$D22),TRUE,FALSE), IF(AND(teacher_type="TB",career_stage="HP"),IF(AND(COUNTIFS(TBHPS[Strand],$B22,TBHPS[QET],$J22)&gt;0,$D22),TRUE,FALSE),FALSE))))</f>
        <v>1</v>
      </c>
      <c r="L22" s="99" t="str">
        <f>IF($K22,IF(AND(teacher_type="R",career_stage="P"),VLOOKUP($B22,RPI[],COLUMNS(RPI[[Strand]:[user_selected_coi_ncoi]]),FALSE), IF(AND(teacher_type="R",career_stage="HP"),VLOOKUP($B22,RHPI[],COLUMNS(RHPI[[Strand]:[user_selected_coi_ncoi]]),FALSE), IF(AND(teacher_type="TB",career_stage="P"),VLOOKUP($B22,TBPI[],COLUMNS(TBPI[[Strand]:[user_selected_coi_ncoi]]),FALSE), IF(AND(teacher_type="TB",career_stage="HP"),VLOOKUP($B22,TBHPI[],COLUMNS(TBHPI[[Strand]:[user_selected_coi_ncoi]]),FALSE),"")))),"")</f>
        <v>COI</v>
      </c>
      <c r="M22" s="99" t="b">
        <f>IF(AND(teacher_type="R",career_stage="P"),IF(AND(COUNTIFS(RPS[Strand],$B22,RPS[QET],M$11)&gt;0,$D22),TRUE,FALSE),IF(AND(teacher_type="R",career_stage="HP"),IF(AND(COUNTIFS(RHPS[Strand],$B22,RHPS[QET],M$11)&gt;0,$D22),TRUE,FALSE), IF(AND(teacher_type="TB",career_stage="P"),IF(AND(COUNTIFS(TBPS[Strand],$B22,TBPS[QET],M$11)&gt;0,$D22),TRUE,FALSE), IF(AND(teacher_type="TB",career_stage="HP"),IF(AND(COUNTIFS(TBHPS[Strand],$B22,TBHPS[QET],M$11)&gt;0,$D22),TRUE,FALSE),FALSE))))</f>
        <v>1</v>
      </c>
      <c r="N22" s="99" t="b">
        <f>IF(AND(teacher_type="R",career_stage="P"),IF(AND(COUNTIFS(RPS[Strand],$B22,RPS[QET],N$11)&gt;0,$D22),TRUE,FALSE),IF(AND(teacher_type="R",career_stage="HP"),IF(AND(COUNTIFS(RHPS[Strand],$B22,RHPS[QET],N$11)&gt;0,$D22),TRUE,FALSE), IF(AND(teacher_type="TB",career_stage="P"),IF(AND(COUNTIFS(TBPS[Strand],$B22,TBPS[QET],N$11)&gt;0,$D22),TRUE,FALSE), IF(AND(teacher_type="TB",career_stage="HP"),IF(AND(COUNTIFS(TBHPS[Strand],$B22,TBHPS[QET],N$11)&gt;0,$D22),TRUE,FALSE),FALSE))))</f>
        <v>1</v>
      </c>
      <c r="O22" s="99" t="b">
        <f>IF(AND(teacher_type="R",career_stage="P"),IF(AND(COUNTIFS(RPS[Strand],$B22,RPS[QET],O$11)&gt;0,$D22),TRUE,FALSE),IF(AND(teacher_type="R",career_stage="HP"),IF(AND(COUNTIFS(RHPS[Strand],$B22,RHPS[QET],O$11)&gt;0,$D22),TRUE,FALSE), IF(AND(teacher_type="TB",career_stage="P"),IF(AND(COUNTIFS(TBPS[Strand],$B22,TBPS[QET],O$11)&gt;0,$D22),TRUE,FALSE), IF(AND(teacher_type="TB",career_stage="HP"),IF(AND(COUNTIFS(TBHPS[Strand],$B22,TBHPS[QET],O$11)&gt;0,$D22),TRUE,FALSE),FALSE))))</f>
        <v>0</v>
      </c>
      <c r="P22" s="710"/>
      <c r="Q22" s="686"/>
      <c r="R22" s="688"/>
      <c r="S22" s="664"/>
      <c r="T22" s="684"/>
      <c r="U22" s="94" t="s">
        <v>1186</v>
      </c>
      <c r="V22" s="391" t="str">
        <f ca="1">IFERROR(IF($N22,IF(AND(career_stage="P",teacher_type="R"),INDEX(INDIRECT("RPS["&amp;V$10&amp;"]"),MATCH($H22,RPS[helper],0),1), IF(AND(career_stage="HP",teacher_type="R"), INDEX(INDIRECT("RHPS["&amp;V$10&amp;"]"),MATCH($H22,RHPS[helper],0),1), IF(AND(career_stage="P",teacher_type="TB"),INDEX(INDIRECT("TBPS["&amp;V$10&amp;"]"),MATCH($H22,TBPS[helper],0),1), IF(AND(career_stage="HP",teacher_type="TB"),INDEX(INDIRECT("TBHPS["&amp;V$10&amp;"]"),MATCH($H22,TBHPS[helper],0),1),"")))),""),"")</f>
        <v>Objective was met within the allotted time</v>
      </c>
      <c r="W22" s="391">
        <f ca="1">IFERROR(IF($N22,IF(AND(career_stage="P",teacher_type="R"),INDEX(INDIRECT("RPS["&amp;W$10&amp;"]"),MATCH($H22,RPS[helper],0),1), IF(AND(career_stage="HP",teacher_type="R"), INDEX(INDIRECT("RHPS["&amp;W$10&amp;"]"),MATCH($H22,RHPS[helper],0),1), IF(AND(career_stage="P",teacher_type="TB"),INDEX(INDIRECT("TBPS["&amp;W$10&amp;"]"),MATCH($H22,TBPS[helper],0),1), IF(AND(career_stage="HP",teacher_type="TB"),INDEX(INDIRECT("TBHPS["&amp;W$10&amp;"]"),MATCH($H22,TBHPS[helper],0),1),"")))),""),"")</f>
        <v>0</v>
      </c>
      <c r="X22" s="391" t="str">
        <f ca="1">IFERROR(IF($N22,IF(AND(career_stage="P",teacher_type="R"),INDEX(INDIRECT("RPS["&amp;X$10&amp;"]"),MATCH($H22,RPS[helper],0),1), IF(AND(career_stage="HP",teacher_type="R"), INDEX(INDIRECT("RHPS["&amp;X$10&amp;"]"),MATCH($H22,RHPS[helper],0),1), IF(AND(career_stage="P",teacher_type="TB"),INDEX(INDIRECT("TBPS["&amp;X$10&amp;"]"),MATCH($H22,TBPS[helper],0),1), IF(AND(career_stage="HP",teacher_type="TB"),INDEX(INDIRECT("TBHPS["&amp;X$10&amp;"]"),MATCH($H22,TBHPS[helper],0),1),"")))),""),"")</f>
        <v>Objective was met but instruction exceeded the allotted time</v>
      </c>
      <c r="Y22" s="391">
        <f ca="1">IFERROR(IF($N22,IF(AND(career_stage="P",teacher_type="R"),INDEX(INDIRECT("RPS["&amp;Y$10&amp;"]"),MATCH($H22,RPS[helper],0),1), IF(AND(career_stage="HP",teacher_type="R"), INDEX(INDIRECT("RHPS["&amp;Y$10&amp;"]"),MATCH($H22,RHPS[helper],0),1), IF(AND(career_stage="P",teacher_type="TB"),INDEX(INDIRECT("TBPS["&amp;Y$10&amp;"]"),MATCH($H22,TBPS[helper],0),1), IF(AND(career_stage="HP",teacher_type="TB"),INDEX(INDIRECT("TBHPS["&amp;Y$10&amp;"]"),MATCH($H22,TBHPS[helper],0),1),"")))),""),"")</f>
        <v>0</v>
      </c>
      <c r="Z22" s="391" t="str">
        <f ca="1">IFERROR(IF($N22,IF(AND(career_stage="P",teacher_type="R"),INDEX(INDIRECT("RPS["&amp;Z$10&amp;"]"),MATCH($H22,RPS[helper],0),1), IF(AND(career_stage="HP",teacher_type="R"), INDEX(INDIRECT("RHPS["&amp;Z$10&amp;"]"),MATCH($H22,RHPS[helper],0),1), IF(AND(career_stage="P",teacher_type="TB"),INDEX(INDIRECT("TBPS["&amp;Z$10&amp;"]"),MATCH($H22,TBPS[helper],0),1), IF(AND(career_stage="HP",teacher_type="TB"),INDEX(INDIRECT("TBHPS["&amp;Z$10&amp;"]"),MATCH($H22,TBHPS[helper],0),1),"")))),""),"")</f>
        <v>No acceptable evidence was shown</v>
      </c>
      <c r="AA22" s="392" t="str" cm="1">
        <f t="array" aca="1" ref="AA22" ca="1">IFERROR(INDEX(V22:Z22,6-AC21),"")</f>
        <v>Objective was met within the allotted time</v>
      </c>
      <c r="AB22" s="680"/>
      <c r="AC22" s="680"/>
      <c r="AD22" s="680"/>
      <c r="AE22" s="682"/>
      <c r="AF22" s="661"/>
      <c r="AG22" s="5"/>
    </row>
    <row r="23" spans="1:33" hidden="1" x14ac:dyDescent="0.25">
      <c r="A23" s="92">
        <v>4</v>
      </c>
      <c r="B23" s="99" t="str" cm="1">
        <f t="array" ref="B23">IFERROR(IF(AND(teacher_type="R",career_stage="P"),INDEX(RPI[Strand],$A23),IF(AND(teacher_type="R",career_stage="HP"),INDEX(RHPI[Strand],$A23), IF(AND(teacher_type="TB",career_stage="P"),INDEX(TBPI[Strand],$A23), IF(AND(teacher_type="TB",career_stage="HP"),INDEX(TBHPI[Strand],$A23),0)))),0)</f>
        <v>1.4.2</v>
      </c>
      <c r="C23" s="99">
        <f>IFERROR(IF(AND(teacher_type="R",career_stage="P"),VLOOKUP($B23,RPI[[Strand]:[Domain]],COLUMNS(RPI[[Strand]:[Domain]]),FALSE), IF(AND(teacher_type="R",career_stage="HP"),VLOOKUP($B23,RHPI[[Strand]:[Domain]],COLUMNS(RHPI[[Strand]:[Domain]]),FALSE), IF(AND(teacher_type="TB",career_stage="P"),VLOOKUP($B23,TBPI[[Strand]:[Domain]],COLUMNS(TBPI[[Strand]:[Domain]]),FALSE), IF(AND(teacher_type="TB",career_stage="HP"),VLOOKUP($B23,TBHPI[[Strand]:[Domain]],COLUMNS(TBHPI[[Strand]:[Domain]]),FALSE),"")))),"")</f>
        <v>1</v>
      </c>
      <c r="D23" s="99" t="b">
        <f>IFERROR(IF(AND(career_stage="P",teacher_type="R"),VLOOKUP(B23,RPI[],COLUMNS(RPI[[Strand]:[Selected]]),FALSE), IF(AND(career_stage="HP",teacher_type="R"),VLOOKUP(B23,RHPI[],COLUMNS(RHPI[[Strand]:[Selected]]),FALSE), IF(AND(career_stage="P",teacher_type="TB"),VLOOKUP(B23,TBPI[],COLUMNS(TBPI[[Strand]:[Selected]]),FALSE), IF(AND(career_stage="HP",teacher_type="TB"),VLOOKUP(B23,TBHPI[],COLUMNS(TBHPI[[Strand]:[Selected]]),FALSE),FALSE)))),FALSE)</f>
        <v>1</v>
      </c>
      <c r="E23" s="92" t="b">
        <f>COUNTIFS($C$12:$C23,C23,$D$12:$D23,TRUE)=1</f>
        <v>0</v>
      </c>
      <c r="F23" s="92" t="b">
        <f>COUNTIFS($C$12:$C23,$C23,$B$12:$B23,$B23,$D$12:$D23,TRUE)=1</f>
        <v>0</v>
      </c>
      <c r="G23" s="99">
        <f>IF($F23,COUNTIFS($C$12:$C23,C23,$F$12:$F23,TRUE),0)</f>
        <v>0</v>
      </c>
      <c r="H23" s="99" t="str">
        <f t="shared" si="0"/>
        <v>1.4.2-T</v>
      </c>
      <c r="I23" s="99">
        <f>IF(AND(D23,NOT($A23=$A22)),(COUNTIF($D$11:$D22,TRUE)/3)+1,0)</f>
        <v>0</v>
      </c>
      <c r="J23" s="99" t="s">
        <v>1014</v>
      </c>
      <c r="K23" s="99" t="b">
        <f>IF(AND(teacher_type="R",career_stage="P"),IF(AND(COUNTIFS(RPS[Strand],$B23,RPS[QET],$J23)&gt;0,$D23),TRUE,FALSE), IF(AND(teacher_type="R",career_stage="HP"),IF(AND(COUNTIFS(RHPS[Strand],$B23,RHPS[QET],$J23)&gt;0,$D23),TRUE,FALSE), IF(AND(teacher_type="TB",career_stage="P"),IF(AND(COUNTIFS(TBPS[Strand],$B23,TBPS[QET],$J23)&gt;0,$D23),TRUE,FALSE), IF(AND(teacher_type="TB",career_stage="HP"),IF(AND(COUNTIFS(TBHPS[Strand],$B23,TBHPS[QET],$J23)&gt;0,$D23),TRUE,FALSE),FALSE))))</f>
        <v>0</v>
      </c>
      <c r="L23" s="99" t="str">
        <f>IF($K23,IF(AND(teacher_type="R",career_stage="P"),VLOOKUP($B23,RPI[],COLUMNS(RPI[[Strand]:[user_selected_coi_ncoi]]),FALSE), IF(AND(teacher_type="R",career_stage="HP"),VLOOKUP($B23,RHPI[],COLUMNS(RHPI[[Strand]:[user_selected_coi_ncoi]]),FALSE), IF(AND(teacher_type="TB",career_stage="P"),VLOOKUP($B23,TBPI[],COLUMNS(TBPI[[Strand]:[user_selected_coi_ncoi]]),FALSE), IF(AND(teacher_type="TB",career_stage="HP"),VLOOKUP($B23,TBHPI[],COLUMNS(TBHPI[[Strand]:[user_selected_coi_ncoi]]),FALSE),"")))),"")</f>
        <v/>
      </c>
      <c r="M23" s="99" t="b">
        <f>IF(AND(teacher_type="R",career_stage="P"),IF(AND(COUNTIFS(RPS[Strand],$B23,RPS[QET],M$11)&gt;0,$D23),TRUE,FALSE),IF(AND(teacher_type="R",career_stage="HP"),IF(AND(COUNTIFS(RHPS[Strand],$B23,RHPS[QET],M$11)&gt;0,$D23),TRUE,FALSE), IF(AND(teacher_type="TB",career_stage="P"),IF(AND(COUNTIFS(TBPS[Strand],$B23,TBPS[QET],M$11)&gt;0,$D23),TRUE,FALSE), IF(AND(teacher_type="TB",career_stage="HP"),IF(AND(COUNTIFS(TBHPS[Strand],$B23,TBHPS[QET],M$11)&gt;0,$D23),TRUE,FALSE),FALSE))))</f>
        <v>1</v>
      </c>
      <c r="N23" s="99" t="b">
        <f>IF(AND(teacher_type="R",career_stage="P"),IF(AND(COUNTIFS(RPS[Strand],$B23,RPS[QET],N$11)&gt;0,$D23),TRUE,FALSE),IF(AND(teacher_type="R",career_stage="HP"),IF(AND(COUNTIFS(RHPS[Strand],$B23,RHPS[QET],N$11)&gt;0,$D23),TRUE,FALSE), IF(AND(teacher_type="TB",career_stage="P"),IF(AND(COUNTIFS(TBPS[Strand],$B23,TBPS[QET],N$11)&gt;0,$D23),TRUE,FALSE), IF(AND(teacher_type="TB",career_stage="HP"),IF(AND(COUNTIFS(TBHPS[Strand],$B23,TBHPS[QET],N$11)&gt;0,$D23),TRUE,FALSE),FALSE))))</f>
        <v>1</v>
      </c>
      <c r="O23" s="99" t="b">
        <f>IF(AND(teacher_type="R",career_stage="P"),IF(AND(COUNTIFS(RPS[Strand],$B23,RPS[QET],O$11)&gt;0,$D23),TRUE,FALSE),IF(AND(teacher_type="R",career_stage="HP"),IF(AND(COUNTIFS(RHPS[Strand],$B23,RHPS[QET],O$11)&gt;0,$D23),TRUE,FALSE), IF(AND(teacher_type="TB",career_stage="P"),IF(AND(COUNTIFS(TBPS[Strand],$B23,TBPS[QET],O$11)&gt;0,$D23),TRUE,FALSE), IF(AND(teacher_type="TB",career_stage="HP"),IF(AND(COUNTIFS(TBHPS[Strand],$B23,TBHPS[QET],O$11)&gt;0,$D23),TRUE,FALSE),FALSE))))</f>
        <v>0</v>
      </c>
      <c r="P23" s="710"/>
      <c r="Q23" s="687"/>
      <c r="R23" s="688"/>
      <c r="S23" s="664"/>
      <c r="T23" s="684"/>
      <c r="U23" s="94" t="s">
        <v>1187</v>
      </c>
      <c r="V23" s="391" t="str">
        <f ca="1">IFERROR(IF($O23,IF(AND(career_stage="P",teacher_type="R"),INDEX(INDIRECT("RPS["&amp;V$10&amp;"]"),MATCH($H23,RPS[helper],0),1), IF(AND(career_stage="HP",teacher_type="R"), INDEX(INDIRECT("RHPS["&amp;V$10&amp;"]"),MATCH($H23,RHPS[helper],0),1), IF(AND(career_stage="P",teacher_type="TB"),INDEX(INDIRECT("TBPS["&amp;V$10&amp;"]"),MATCH($H23,TBPS[helper],0),1), IF(AND(career_stage="HP",teacher_type="TB"),INDEX(INDIRECT("TBHPS["&amp;V$10&amp;"]"),MATCH($H23,TBHPS[helper],0),1),"")))),""),"")</f>
        <v/>
      </c>
      <c r="W23" s="391" t="str">
        <f ca="1">IFERROR(IF($O23,IF(AND(career_stage="P",teacher_type="R"),INDEX(INDIRECT("RPS["&amp;W$10&amp;"]"),MATCH($H23,RPS[helper],0),1), IF(AND(career_stage="HP",teacher_type="R"), INDEX(INDIRECT("RHPS["&amp;W$10&amp;"]"),MATCH($H23,RHPS[helper],0),1), IF(AND(career_stage="P",teacher_type="TB"),INDEX(INDIRECT("TBPS["&amp;W$10&amp;"]"),MATCH($H23,TBPS[helper],0),1), IF(AND(career_stage="HP",teacher_type="TB"),INDEX(INDIRECT("TBHPS["&amp;W$10&amp;"]"),MATCH($H23,TBHPS[helper],0),1),"")))),""),"")</f>
        <v/>
      </c>
      <c r="X23" s="391" t="str">
        <f ca="1">IFERROR(IF($O23,IF(AND(career_stage="P",teacher_type="R"),INDEX(INDIRECT("RPS["&amp;X$10&amp;"]"),MATCH($H23,RPS[helper],0),1), IF(AND(career_stage="HP",teacher_type="R"), INDEX(INDIRECT("RHPS["&amp;X$10&amp;"]"),MATCH($H23,RHPS[helper],0),1), IF(AND(career_stage="P",teacher_type="TB"),INDEX(INDIRECT("TBPS["&amp;X$10&amp;"]"),MATCH($H23,TBPS[helper],0),1), IF(AND(career_stage="HP",teacher_type="TB"),INDEX(INDIRECT("TBHPS["&amp;X$10&amp;"]"),MATCH($H23,TBHPS[helper],0),1),"")))),""),"")</f>
        <v/>
      </c>
      <c r="Y23" s="391" t="str">
        <f ca="1">IFERROR(IF($O23,IF(AND(career_stage="P",teacher_type="R"),INDEX(INDIRECT("RPS["&amp;Y$10&amp;"]"),MATCH($H23,RPS[helper],0),1), IF(AND(career_stage="HP",teacher_type="R"), INDEX(INDIRECT("RHPS["&amp;Y$10&amp;"]"),MATCH($H23,RHPS[helper],0),1), IF(AND(career_stage="P",teacher_type="TB"),INDEX(INDIRECT("TBPS["&amp;Y$10&amp;"]"),MATCH($H23,TBPS[helper],0),1), IF(AND(career_stage="HP",teacher_type="TB"),INDEX(INDIRECT("TBHPS["&amp;Y$10&amp;"]"),MATCH($H23,TBHPS[helper],0),1),"")))),""),"")</f>
        <v/>
      </c>
      <c r="Z23" s="391" t="str">
        <f ca="1">IFERROR(IF($O23,IF(AND(career_stage="P",teacher_type="R"),INDEX(INDIRECT("RPS["&amp;Z$10&amp;"]"),MATCH($H23,RPS[helper],0),1), IF(AND(career_stage="HP",teacher_type="R"), INDEX(INDIRECT("RHPS["&amp;Z$10&amp;"]"),MATCH($H23,RHPS[helper],0),1), IF(AND(career_stage="P",teacher_type="TB"),INDEX(INDIRECT("TBPS["&amp;Z$10&amp;"]"),MATCH($H23,TBPS[helper],0),1), IF(AND(career_stage="HP",teacher_type="TB"),INDEX(INDIRECT("TBHPS["&amp;Z$10&amp;"]"),MATCH($H23,TBHPS[helper],0),1),"")))),""),"")</f>
        <v/>
      </c>
      <c r="AA23" s="391" t="str" cm="1">
        <f t="array" ref="AA23">IFERROR(INDEX(V23:Z23,6-AD21),"")</f>
        <v/>
      </c>
      <c r="AB23" s="680"/>
      <c r="AC23" s="680"/>
      <c r="AD23" s="680"/>
      <c r="AE23" s="682"/>
      <c r="AF23" s="661"/>
      <c r="AG23" s="5"/>
    </row>
    <row r="24" spans="1:33" ht="102" x14ac:dyDescent="0.25">
      <c r="A24" s="92">
        <v>5</v>
      </c>
      <c r="B24" s="99" t="str" cm="1">
        <f t="array" ref="B24">IFERROR(IF(AND(teacher_type="R",career_stage="P"),INDEX(RPI[Strand],$A24),IF(AND(teacher_type="R",career_stage="HP"),INDEX(RHPI[Strand],$A24), IF(AND(teacher_type="TB",career_stage="P"),INDEX(TBPI[Strand],$A24), IF(AND(teacher_type="TB",career_stage="HP"),INDEX(TBHPI[Strand],$A24),0)))),0)</f>
        <v>1.5.2</v>
      </c>
      <c r="C24" s="99">
        <f>IFERROR(IF(AND(teacher_type="R",career_stage="P"),VLOOKUP($B24,RPI[[Strand]:[Domain]],COLUMNS(RPI[[Strand]:[Domain]]),FALSE), IF(AND(teacher_type="R",career_stage="HP"),VLOOKUP($B24,RHPI[[Strand]:[Domain]],COLUMNS(RHPI[[Strand]:[Domain]]),FALSE), IF(AND(teacher_type="TB",career_stage="P"),VLOOKUP($B24,TBPI[[Strand]:[Domain]],COLUMNS(TBPI[[Strand]:[Domain]]),FALSE), IF(AND(teacher_type="TB",career_stage="HP"),VLOOKUP($B24,TBHPI[[Strand]:[Domain]],COLUMNS(TBHPI[[Strand]:[Domain]]),FALSE),"")))),"")</f>
        <v>1</v>
      </c>
      <c r="D24" s="99" t="b">
        <f>IFERROR(IF(AND(career_stage="P",teacher_type="R"),VLOOKUP(B24,RPI[],COLUMNS(RPI[[Strand]:[Selected]]),FALSE), IF(AND(career_stage="HP",teacher_type="R"),VLOOKUP(B24,RHPI[],COLUMNS(RHPI[[Strand]:[Selected]]),FALSE), IF(AND(career_stage="P",teacher_type="TB"),VLOOKUP(B24,TBPI[],COLUMNS(TBPI[[Strand]:[Selected]]),FALSE), IF(AND(career_stage="HP",teacher_type="TB"),VLOOKUP(B24,TBHPI[],COLUMNS(TBHPI[[Strand]:[Selected]]),FALSE),FALSE)))),FALSE)</f>
        <v>1</v>
      </c>
      <c r="E24" s="92" t="b">
        <f>COUNTIFS($C$12:$C24,C24,$D$12:$D24,TRUE)=1</f>
        <v>0</v>
      </c>
      <c r="F24" s="92" t="b">
        <f>COUNTIFS($C$12:$C24,$C24,$B$12:$B24,$B24,$D$12:$D24,TRUE)=1</f>
        <v>1</v>
      </c>
      <c r="G24" s="99">
        <f>IF($F24,COUNTIFS($C$12:$C24,C24,$F$12:$F24,TRUE),0)</f>
        <v>3</v>
      </c>
      <c r="H24" s="99" t="str">
        <f t="shared" si="0"/>
        <v>1.5.2-Q-COI</v>
      </c>
      <c r="I24" s="99">
        <f>IF(AND(D24,NOT($A24=$A23)),(COUNTIF($D$11:$D23,TRUE)/3)+1,0)</f>
        <v>3</v>
      </c>
      <c r="J24" s="99" t="s">
        <v>1012</v>
      </c>
      <c r="K24" s="99" t="b">
        <f>IF(AND(teacher_type="R",career_stage="P"),IF(AND(COUNTIFS(RPS[Strand],$B24,RPS[QET],$J24)&gt;0,$D24),TRUE,FALSE), IF(AND(teacher_type="R",career_stage="HP"),IF(AND(COUNTIFS(RHPS[Strand],$B24,RHPS[QET],$J24)&gt;0,$D24),TRUE,FALSE), IF(AND(teacher_type="TB",career_stage="P"),IF(AND(COUNTIFS(TBPS[Strand],$B24,TBPS[QET],$J24)&gt;0,$D24),TRUE,FALSE), IF(AND(teacher_type="TB",career_stage="HP"),IF(AND(COUNTIFS(TBHPS[Strand],$B24,TBHPS[QET],$J24)&gt;0,$D24),TRUE,FALSE),FALSE))))</f>
        <v>1</v>
      </c>
      <c r="L24" s="99" t="str">
        <f>IF($K24,IF(AND(teacher_type="R",career_stage="P"),VLOOKUP($B24,RPI[],COLUMNS(RPI[[Strand]:[user_selected_coi_ncoi]]),FALSE), IF(AND(teacher_type="R",career_stage="HP"),VLOOKUP($B24,RHPI[],COLUMNS(RHPI[[Strand]:[user_selected_coi_ncoi]]),FALSE), IF(AND(teacher_type="TB",career_stage="P"),VLOOKUP($B24,TBPI[],COLUMNS(TBPI[[Strand]:[user_selected_coi_ncoi]]),FALSE), IF(AND(teacher_type="TB",career_stage="HP"),VLOOKUP($B24,TBHPI[],COLUMNS(TBHPI[[Strand]:[user_selected_coi_ncoi]]),FALSE),"")))),"")</f>
        <v>COI</v>
      </c>
      <c r="M24" s="99" t="b">
        <f>IF(AND(teacher_type="R",career_stage="P"),IF(AND(COUNTIFS(RPS[Strand],$B24,RPS[QET],M$11)&gt;0,$D24),TRUE,FALSE),IF(AND(teacher_type="R",career_stage="HP"),IF(AND(COUNTIFS(RHPS[Strand],$B24,RHPS[QET],M$11)&gt;0,$D24),TRUE,FALSE), IF(AND(teacher_type="TB",career_stage="P"),IF(AND(COUNTIFS(TBPS[Strand],$B24,TBPS[QET],M$11)&gt;0,$D24),TRUE,FALSE), IF(AND(teacher_type="TB",career_stage="HP"),IF(AND(COUNTIFS(TBHPS[Strand],$B24,TBHPS[QET],M$11)&gt;0,$D24),TRUE,FALSE),FALSE))))</f>
        <v>1</v>
      </c>
      <c r="N24" s="99" t="b">
        <f>IF(AND(teacher_type="R",career_stage="P"),IF(AND(COUNTIFS(RPS[Strand],$B24,RPS[QET],N$11)&gt;0,$D24),TRUE,FALSE),IF(AND(teacher_type="R",career_stage="HP"),IF(AND(COUNTIFS(RHPS[Strand],$B24,RHPS[QET],N$11)&gt;0,$D24),TRUE,FALSE), IF(AND(teacher_type="TB",career_stage="P"),IF(AND(COUNTIFS(TBPS[Strand],$B24,TBPS[QET],N$11)&gt;0,$D24),TRUE,FALSE), IF(AND(teacher_type="TB",career_stage="HP"),IF(AND(COUNTIFS(TBHPS[Strand],$B24,TBHPS[QET],N$11)&gt;0,$D24),TRUE,FALSE),FALSE))))</f>
        <v>1</v>
      </c>
      <c r="O24" s="99" t="b">
        <f>IF(AND(teacher_type="R",career_stage="P"),IF(AND(COUNTIFS(RPS[Strand],$B24,RPS[QET],O$11)&gt;0,$D24),TRUE,FALSE),IF(AND(teacher_type="R",career_stage="HP"),IF(AND(COUNTIFS(RHPS[Strand],$B24,RHPS[QET],O$11)&gt;0,$D24),TRUE,FALSE), IF(AND(teacher_type="TB",career_stage="P"),IF(AND(COUNTIFS(TBPS[Strand],$B24,TBPS[QET],O$11)&gt;0,$D24),TRUE,FALSE), IF(AND(teacher_type="TB",career_stage="HP"),IF(AND(COUNTIFS(TBHPS[Strand],$B24,TBHPS[QET],O$11)&gt;0,$D24),TRUE,FALSE),FALSE))))</f>
        <v>0</v>
      </c>
      <c r="P24" s="710"/>
      <c r="Q24" s="685" t="str">
        <f>IFERROR(IF(E24,IF(C24="Plus Factor","Plus Factor",C24 &amp; ". " &amp; INDEX(Domains[Domain],MATCH(C24,Domains[Domain_code],0),1)),""),"")</f>
        <v/>
      </c>
      <c r="R24" s="663" t="str">
        <f>IFERROR(IF($F24,$I24 &amp; ". " &amp; IF(AND(career_stage="P",teacher_type="R"), INDEX(RPI[PPST Indicators],MATCH($B24,RPI[Strand],0),1), IF(AND(career_stage="HP",teacher_type="R"),INDEX(RHPI[PPST Indicators],MATCH($B24,RHPI[Strand],0),1), IF(AND(career_stage="P",teacher_type="TB"),INDEX(TBPI[PPST Indicators],MATCH($B24,TBPI[Strand],0),1), IF(AND(career_stage="HP",teacher_type="TB"),INDEX(TBHPI[PPST Indicators],MATCH($B24,TBHPI[Strand],0),1),"")))) &amp; IF(NOT(TRIM(LOWER($C24))="plus factor")," (PPST "&amp;B24&amp;")",""),""),"")</f>
        <v>3. Applied a range of teaching strategies to develop critical and creative thinking, as well as other higher-order thinking skills (PPST 1.5.2)</v>
      </c>
      <c r="S24" s="664" t="str" cm="1">
        <f t="array" ref="S24">demographics[rating_period]</f>
        <v>SY 2023-2024</v>
      </c>
      <c r="T24" s="684">
        <f>IFERROR(IF(AND(career_stage="P",teacher_type="R"),VLOOKUP(B24,RPI[],COLUMNS(RPI[[Strand]:[Weight]]),FALSE), IF(AND(career_stage="HP",teacher_type="R"),VLOOKUP(B24,RHPI[],COLUMNS(RHPI[[Strand]:[Weight]]),FALSE), IF(AND(career_stage="P",teacher_type="TB"),VLOOKUP(B24,TBPI[],COLUMNS(TBPI[[Strand]:[Weight]]),FALSE), IF(AND(career_stage="HP",teacher_type="TB"),VLOOKUP(B24,TBHPI[],COLUMNS(TBHPI[[Strand]:[Weight]]),FALSE),0)))),0)</f>
        <v>7.0000000000000007E-2</v>
      </c>
      <c r="U24" s="94" t="s">
        <v>1185</v>
      </c>
      <c r="V24" s="391" t="str">
        <f ca="1">IFERROR(IF($M24,IF(AND(career_stage="P",teacher_type="R"),INDEX(INDIRECT("RPS["&amp;V$10&amp;"]"),MATCH($H24,RPS[helper],0),1), IF(AND(career_stage="HP",teacher_type="R"), INDEX(INDIRECT("RHPS["&amp;V$10&amp;"]"),MATCH($H24,RHPS[helper],0),1), IF(AND(career_stage="P",teacher_type="TB"),INDEX(INDIRECT("TBPS["&amp;V$10&amp;"]"),MATCH($H24,TBPS[helper],0),1), IF(AND(career_stage="HP",teacher_type="TB"),INDEX(INDIRECT("TBHPS["&amp;V$10&amp;"]"),MATCH($H24,TBHPS[helper],0),1),"")))),""),"")</f>
        <v>Demonstrated Level 7 in the objective as shown in COT rating sheets / inter-observer agreement forms</v>
      </c>
      <c r="W24" s="391" t="str">
        <f ca="1">IFERROR(IF($M24,IF(AND(career_stage="P",teacher_type="R"),INDEX(INDIRECT("RPS["&amp;W$10&amp;"]"),MATCH($H24,RPS[helper],0),1), IF(AND(career_stage="HP",teacher_type="R"), INDEX(INDIRECT("RHPS["&amp;W$10&amp;"]"),MATCH($H24,RHPS[helper],0),1), IF(AND(career_stage="P",teacher_type="TB"),INDEX(INDIRECT("TBPS["&amp;W$10&amp;"]"),MATCH($H24,TBPS[helper],0),1), IF(AND(career_stage="HP",teacher_type="TB"),INDEX(INDIRECT("TBHPS["&amp;W$10&amp;"]"),MATCH($H24,TBHPS[helper],0),1),"")))),""),"")</f>
        <v>Demonstrated Level 6 in the objective as shown in COT rating sheets / inter-observer agreement forms</v>
      </c>
      <c r="X24" s="391" t="str">
        <f ca="1">IFERROR(IF($M24,IF(AND(career_stage="P",teacher_type="R"),INDEX(INDIRECT("RPS["&amp;X$10&amp;"]"),MATCH($H24,RPS[helper],0),1), IF(AND(career_stage="HP",teacher_type="R"), INDEX(INDIRECT("RHPS["&amp;X$10&amp;"]"),MATCH($H24,RHPS[helper],0),1), IF(AND(career_stage="P",teacher_type="TB"),INDEX(INDIRECT("TBPS["&amp;X$10&amp;"]"),MATCH($H24,TBPS[helper],0),1), IF(AND(career_stage="HP",teacher_type="TB"),INDEX(INDIRECT("TBHPS["&amp;X$10&amp;"]"),MATCH($H24,TBHPS[helper],0),1),"")))),""),"")</f>
        <v>Demonstrated Level 5 in the objective as shown in COT rating sheets / inter-observer agreement forms</v>
      </c>
      <c r="Y24" s="391" t="str">
        <f ca="1">IFERROR(IF($M24,IF(AND(career_stage="P",teacher_type="R"),INDEX(INDIRECT("RPS["&amp;Y$10&amp;"]"),MATCH($H24,RPS[helper],0),1), IF(AND(career_stage="HP",teacher_type="R"), INDEX(INDIRECT("RHPS["&amp;Y$10&amp;"]"),MATCH($H24,RHPS[helper],0),1), IF(AND(career_stage="P",teacher_type="TB"),INDEX(INDIRECT("TBPS["&amp;Y$10&amp;"]"),MATCH($H24,TBPS[helper],0),1), IF(AND(career_stage="HP",teacher_type="TB"),INDEX(INDIRECT("TBHPS["&amp;Y$10&amp;"]"),MATCH($H24,TBHPS[helper],0),1),"")))),""),"")</f>
        <v>Demonstrated Level 4 in the objective as shown in COT rating sheets / inter-observer agreement forms</v>
      </c>
      <c r="Z24" s="391" t="str">
        <f ca="1">IFERROR(IF($M24,IF(AND(career_stage="P",teacher_type="R"),INDEX(INDIRECT("RPS["&amp;Z$10&amp;"]"),MATCH($H24,RPS[helper],0),1), IF(AND(career_stage="HP",teacher_type="R"), INDEX(INDIRECT("RHPS["&amp;Z$10&amp;"]"),MATCH($H24,RHPS[helper],0),1), IF(AND(career_stage="P",teacher_type="TB"),INDEX(INDIRECT("TBPS["&amp;Z$10&amp;"]"),MATCH($H24,TBPS[helper],0),1), IF(AND(career_stage="HP",teacher_type="TB"),INDEX(INDIRECT("TBHPS["&amp;Z$10&amp;"]"),MATCH($H24,TBHPS[helper],0),1),"")))),""),"")</f>
        <v>Demonstrated Level 3 in the objective as shown in COT rating sheets / inter-observer agreement forms
or
No acceptable evidence was shown</v>
      </c>
      <c r="AA24" s="392" t="str" cm="1">
        <f t="array" aca="1" ref="AA24" ca="1">IFERROR(INDEX(V24:Z24,6-AB24),"")</f>
        <v>Demonstrated Level 6 in the objective as shown in COT rating sheets / inter-observer agreement forms</v>
      </c>
      <c r="AB24" s="680">
        <f>IF('Encoding Part 1'!AB26="","",'Encoding Part 1'!AB26)</f>
        <v>4</v>
      </c>
      <c r="AC24" s="680">
        <f>IF('Encoding Part 1'!AC26="","",'Encoding Part 1'!AC26)</f>
        <v>5</v>
      </c>
      <c r="AD24" s="680" t="str">
        <f>IF('Encoding Part 1'!AD26="","",'Encoding Part 1'!AD26)</f>
        <v/>
      </c>
      <c r="AE24" s="682">
        <f t="shared" ref="AE24" si="7">IFERROR(ROUNDDOWN(AVERAGE($AB24:$AD24),3),0)</f>
        <v>4.5</v>
      </c>
      <c r="AF24" s="661">
        <f t="shared" ref="AF24" si="8">ROUNDDOWN($AE24*$T24,3)</f>
        <v>0.315</v>
      </c>
      <c r="AG24" s="5"/>
    </row>
    <row r="25" spans="1:33" ht="38.25" x14ac:dyDescent="0.25">
      <c r="A25" s="92">
        <v>5</v>
      </c>
      <c r="B25" s="99" t="str" cm="1">
        <f t="array" ref="B25">IFERROR(IF(AND(teacher_type="R",career_stage="P"),INDEX(RPI[Strand],$A25),IF(AND(teacher_type="R",career_stage="HP"),INDEX(RHPI[Strand],$A25), IF(AND(teacher_type="TB",career_stage="P"),INDEX(TBPI[Strand],$A25), IF(AND(teacher_type="TB",career_stage="HP"),INDEX(TBHPI[Strand],$A25),0)))),0)</f>
        <v>1.5.2</v>
      </c>
      <c r="C25" s="99">
        <f>IFERROR(IF(AND(teacher_type="R",career_stage="P"),VLOOKUP($B25,RPI[[Strand]:[Domain]],COLUMNS(RPI[[Strand]:[Domain]]),FALSE), IF(AND(teacher_type="R",career_stage="HP"),VLOOKUP($B25,RHPI[[Strand]:[Domain]],COLUMNS(RHPI[[Strand]:[Domain]]),FALSE), IF(AND(teacher_type="TB",career_stage="P"),VLOOKUP($B25,TBPI[[Strand]:[Domain]],COLUMNS(TBPI[[Strand]:[Domain]]),FALSE), IF(AND(teacher_type="TB",career_stage="HP"),VLOOKUP($B25,TBHPI[[Strand]:[Domain]],COLUMNS(TBHPI[[Strand]:[Domain]]),FALSE),"")))),"")</f>
        <v>1</v>
      </c>
      <c r="D25" s="99" t="b">
        <f>IFERROR(IF(AND(career_stage="P",teacher_type="R"),VLOOKUP(B25,RPI[],COLUMNS(RPI[[Strand]:[Selected]]),FALSE), IF(AND(career_stage="HP",teacher_type="R"),VLOOKUP(B25,RHPI[],COLUMNS(RHPI[[Strand]:[Selected]]),FALSE), IF(AND(career_stage="P",teacher_type="TB"),VLOOKUP(B25,TBPI[],COLUMNS(TBPI[[Strand]:[Selected]]),FALSE), IF(AND(career_stage="HP",teacher_type="TB"),VLOOKUP(B25,TBHPI[],COLUMNS(TBHPI[[Strand]:[Selected]]),FALSE),FALSE)))),FALSE)</f>
        <v>1</v>
      </c>
      <c r="E25" s="92" t="b">
        <f>COUNTIFS($C$12:$C25,C25,$D$12:$D25,TRUE)=1</f>
        <v>0</v>
      </c>
      <c r="F25" s="92" t="b">
        <f>COUNTIFS($C$12:$C25,$C25,$B$12:$B25,$B25,$D$12:$D25,TRUE)=1</f>
        <v>0</v>
      </c>
      <c r="G25" s="99">
        <f>IF($F25,COUNTIFS($C$12:$C25,C25,$F$12:$F25,TRUE),0)</f>
        <v>0</v>
      </c>
      <c r="H25" s="99" t="str">
        <f t="shared" si="0"/>
        <v>1.5.2-E-COI</v>
      </c>
      <c r="I25" s="99">
        <f>IF(AND(D25,NOT($A25=$A24)),(COUNTIF($D$11:$D24,TRUE)/3)+1,0)</f>
        <v>0</v>
      </c>
      <c r="J25" s="99" t="s">
        <v>1073</v>
      </c>
      <c r="K25" s="99" t="b">
        <f>IF(AND(teacher_type="R",career_stage="P"),IF(AND(COUNTIFS(RPS[Strand],$B25,RPS[QET],$J25)&gt;0,$D25),TRUE,FALSE), IF(AND(teacher_type="R",career_stage="HP"),IF(AND(COUNTIFS(RHPS[Strand],$B25,RHPS[QET],$J25)&gt;0,$D25),TRUE,FALSE), IF(AND(teacher_type="TB",career_stage="P"),IF(AND(COUNTIFS(TBPS[Strand],$B25,TBPS[QET],$J25)&gt;0,$D25),TRUE,FALSE), IF(AND(teacher_type="TB",career_stage="HP"),IF(AND(COUNTIFS(TBHPS[Strand],$B25,TBHPS[QET],$J25)&gt;0,$D25),TRUE,FALSE),FALSE))))</f>
        <v>1</v>
      </c>
      <c r="L25" s="99" t="str">
        <f>IF($K25,IF(AND(teacher_type="R",career_stage="P"),VLOOKUP($B25,RPI[],COLUMNS(RPI[[Strand]:[user_selected_coi_ncoi]]),FALSE), IF(AND(teacher_type="R",career_stage="HP"),VLOOKUP($B25,RHPI[],COLUMNS(RHPI[[Strand]:[user_selected_coi_ncoi]]),FALSE), IF(AND(teacher_type="TB",career_stage="P"),VLOOKUP($B25,TBPI[],COLUMNS(TBPI[[Strand]:[user_selected_coi_ncoi]]),FALSE), IF(AND(teacher_type="TB",career_stage="HP"),VLOOKUP($B25,TBHPI[],COLUMNS(TBHPI[[Strand]:[user_selected_coi_ncoi]]),FALSE),"")))),"")</f>
        <v>COI</v>
      </c>
      <c r="M25" s="99" t="b">
        <f>IF(AND(teacher_type="R",career_stage="P"),IF(AND(COUNTIFS(RPS[Strand],$B25,RPS[QET],M$11)&gt;0,$D25),TRUE,FALSE),IF(AND(teacher_type="R",career_stage="HP"),IF(AND(COUNTIFS(RHPS[Strand],$B25,RHPS[QET],M$11)&gt;0,$D25),TRUE,FALSE), IF(AND(teacher_type="TB",career_stage="P"),IF(AND(COUNTIFS(TBPS[Strand],$B25,TBPS[QET],M$11)&gt;0,$D25),TRUE,FALSE), IF(AND(teacher_type="TB",career_stage="HP"),IF(AND(COUNTIFS(TBHPS[Strand],$B25,TBHPS[QET],M$11)&gt;0,$D25),TRUE,FALSE),FALSE))))</f>
        <v>1</v>
      </c>
      <c r="N25" s="99" t="b">
        <f>IF(AND(teacher_type="R",career_stage="P"),IF(AND(COUNTIFS(RPS[Strand],$B25,RPS[QET],N$11)&gt;0,$D25),TRUE,FALSE),IF(AND(teacher_type="R",career_stage="HP"),IF(AND(COUNTIFS(RHPS[Strand],$B25,RHPS[QET],N$11)&gt;0,$D25),TRUE,FALSE), IF(AND(teacher_type="TB",career_stage="P"),IF(AND(COUNTIFS(TBPS[Strand],$B25,TBPS[QET],N$11)&gt;0,$D25),TRUE,FALSE), IF(AND(teacher_type="TB",career_stage="HP"),IF(AND(COUNTIFS(TBHPS[Strand],$B25,TBHPS[QET],N$11)&gt;0,$D25),TRUE,FALSE),FALSE))))</f>
        <v>1</v>
      </c>
      <c r="O25" s="99" t="b">
        <f>IF(AND(teacher_type="R",career_stage="P"),IF(AND(COUNTIFS(RPS[Strand],$B25,RPS[QET],O$11)&gt;0,$D25),TRUE,FALSE),IF(AND(teacher_type="R",career_stage="HP"),IF(AND(COUNTIFS(RHPS[Strand],$B25,RHPS[QET],O$11)&gt;0,$D25),TRUE,FALSE), IF(AND(teacher_type="TB",career_stage="P"),IF(AND(COUNTIFS(TBPS[Strand],$B25,TBPS[QET],O$11)&gt;0,$D25),TRUE,FALSE), IF(AND(teacher_type="TB",career_stage="HP"),IF(AND(COUNTIFS(TBHPS[Strand],$B25,TBHPS[QET],O$11)&gt;0,$D25),TRUE,FALSE),FALSE))))</f>
        <v>0</v>
      </c>
      <c r="P25" s="710"/>
      <c r="Q25" s="686"/>
      <c r="R25" s="663"/>
      <c r="S25" s="664"/>
      <c r="T25" s="684"/>
      <c r="U25" s="94" t="s">
        <v>1186</v>
      </c>
      <c r="V25" s="391" t="str">
        <f ca="1">IFERROR(IF($N25,IF(AND(career_stage="P",teacher_type="R"),INDEX(INDIRECT("RPS["&amp;V$10&amp;"]"),MATCH($H25,RPS[helper],0),1), IF(AND(career_stage="HP",teacher_type="R"), INDEX(INDIRECT("RHPS["&amp;V$10&amp;"]"),MATCH($H25,RHPS[helper],0),1), IF(AND(career_stage="P",teacher_type="TB"),INDEX(INDIRECT("TBPS["&amp;V$10&amp;"]"),MATCH($H25,TBPS[helper],0),1), IF(AND(career_stage="HP",teacher_type="TB"),INDEX(INDIRECT("TBHPS["&amp;V$10&amp;"]"),MATCH($H25,TBHPS[helper],0),1),"")))),""),"")</f>
        <v>Objective was met within the allotted time</v>
      </c>
      <c r="W25" s="391">
        <f ca="1">IFERROR(IF($N25,IF(AND(career_stage="P",teacher_type="R"),INDEX(INDIRECT("RPS["&amp;W$10&amp;"]"),MATCH($H25,RPS[helper],0),1), IF(AND(career_stage="HP",teacher_type="R"), INDEX(INDIRECT("RHPS["&amp;W$10&amp;"]"),MATCH($H25,RHPS[helper],0),1), IF(AND(career_stage="P",teacher_type="TB"),INDEX(INDIRECT("TBPS["&amp;W$10&amp;"]"),MATCH($H25,TBPS[helper],0),1), IF(AND(career_stage="HP",teacher_type="TB"),INDEX(INDIRECT("TBHPS["&amp;W$10&amp;"]"),MATCH($H25,TBHPS[helper],0),1),"")))),""),"")</f>
        <v>0</v>
      </c>
      <c r="X25" s="391" t="str">
        <f ca="1">IFERROR(IF($N25,IF(AND(career_stage="P",teacher_type="R"),INDEX(INDIRECT("RPS["&amp;X$10&amp;"]"),MATCH($H25,RPS[helper],0),1), IF(AND(career_stage="HP",teacher_type="R"), INDEX(INDIRECT("RHPS["&amp;X$10&amp;"]"),MATCH($H25,RHPS[helper],0),1), IF(AND(career_stage="P",teacher_type="TB"),INDEX(INDIRECT("TBPS["&amp;X$10&amp;"]"),MATCH($H25,TBPS[helper],0),1), IF(AND(career_stage="HP",teacher_type="TB"),INDEX(INDIRECT("TBHPS["&amp;X$10&amp;"]"),MATCH($H25,TBHPS[helper],0),1),"")))),""),"")</f>
        <v>Objective was met but instruction exceeded the allotted time</v>
      </c>
      <c r="Y25" s="391">
        <f ca="1">IFERROR(IF($N25,IF(AND(career_stage="P",teacher_type="R"),INDEX(INDIRECT("RPS["&amp;Y$10&amp;"]"),MATCH($H25,RPS[helper],0),1), IF(AND(career_stage="HP",teacher_type="R"), INDEX(INDIRECT("RHPS["&amp;Y$10&amp;"]"),MATCH($H25,RHPS[helper],0),1), IF(AND(career_stage="P",teacher_type="TB"),INDEX(INDIRECT("TBPS["&amp;Y$10&amp;"]"),MATCH($H25,TBPS[helper],0),1), IF(AND(career_stage="HP",teacher_type="TB"),INDEX(INDIRECT("TBHPS["&amp;Y$10&amp;"]"),MATCH($H25,TBHPS[helper],0),1),"")))),""),"")</f>
        <v>0</v>
      </c>
      <c r="Z25" s="391" t="str">
        <f ca="1">IFERROR(IF($N25,IF(AND(career_stage="P",teacher_type="R"),INDEX(INDIRECT("RPS["&amp;Z$10&amp;"]"),MATCH($H25,RPS[helper],0),1), IF(AND(career_stage="HP",teacher_type="R"), INDEX(INDIRECT("RHPS["&amp;Z$10&amp;"]"),MATCH($H25,RHPS[helper],0),1), IF(AND(career_stage="P",teacher_type="TB"),INDEX(INDIRECT("TBPS["&amp;Z$10&amp;"]"),MATCH($H25,TBPS[helper],0),1), IF(AND(career_stage="HP",teacher_type="TB"),INDEX(INDIRECT("TBHPS["&amp;Z$10&amp;"]"),MATCH($H25,TBHPS[helper],0),1),"")))),""),"")</f>
        <v>No acceptable evidence was shown</v>
      </c>
      <c r="AA25" s="392" t="str" cm="1">
        <f t="array" aca="1" ref="AA25" ca="1">IFERROR(INDEX(V25:Z25,6-AC24),"")</f>
        <v>Objective was met within the allotted time</v>
      </c>
      <c r="AB25" s="680"/>
      <c r="AC25" s="680"/>
      <c r="AD25" s="680"/>
      <c r="AE25" s="682"/>
      <c r="AF25" s="661"/>
      <c r="AG25" s="5"/>
    </row>
    <row r="26" spans="1:33" hidden="1" x14ac:dyDescent="0.25">
      <c r="A26" s="92">
        <v>5</v>
      </c>
      <c r="B26" s="99" t="str" cm="1">
        <f t="array" ref="B26">IFERROR(IF(AND(teacher_type="R",career_stage="P"),INDEX(RPI[Strand],$A26),IF(AND(teacher_type="R",career_stage="HP"),INDEX(RHPI[Strand],$A26), IF(AND(teacher_type="TB",career_stage="P"),INDEX(TBPI[Strand],$A26), IF(AND(teacher_type="TB",career_stage="HP"),INDEX(TBHPI[Strand],$A26),0)))),0)</f>
        <v>1.5.2</v>
      </c>
      <c r="C26" s="99">
        <f>IFERROR(IF(AND(teacher_type="R",career_stage="P"),VLOOKUP($B26,RPI[[Strand]:[Domain]],COLUMNS(RPI[[Strand]:[Domain]]),FALSE), IF(AND(teacher_type="R",career_stage="HP"),VLOOKUP($B26,RHPI[[Strand]:[Domain]],COLUMNS(RHPI[[Strand]:[Domain]]),FALSE), IF(AND(teacher_type="TB",career_stage="P"),VLOOKUP($B26,TBPI[[Strand]:[Domain]],COLUMNS(TBPI[[Strand]:[Domain]]),FALSE), IF(AND(teacher_type="TB",career_stage="HP"),VLOOKUP($B26,TBHPI[[Strand]:[Domain]],COLUMNS(TBHPI[[Strand]:[Domain]]),FALSE),"")))),"")</f>
        <v>1</v>
      </c>
      <c r="D26" s="99" t="b">
        <f>IFERROR(IF(AND(career_stage="P",teacher_type="R"),VLOOKUP(B26,RPI[],COLUMNS(RPI[[Strand]:[Selected]]),FALSE), IF(AND(career_stage="HP",teacher_type="R"),VLOOKUP(B26,RHPI[],COLUMNS(RHPI[[Strand]:[Selected]]),FALSE), IF(AND(career_stage="P",teacher_type="TB"),VLOOKUP(B26,TBPI[],COLUMNS(TBPI[[Strand]:[Selected]]),FALSE), IF(AND(career_stage="HP",teacher_type="TB"),VLOOKUP(B26,TBHPI[],COLUMNS(TBHPI[[Strand]:[Selected]]),FALSE),FALSE)))),FALSE)</f>
        <v>1</v>
      </c>
      <c r="E26" s="92" t="b">
        <f>COUNTIFS($C$12:$C26,C26,$D$12:$D26,TRUE)=1</f>
        <v>0</v>
      </c>
      <c r="F26" s="92" t="b">
        <f>COUNTIFS($C$12:$C26,$C26,$B$12:$B26,$B26,$D$12:$D26,TRUE)=1</f>
        <v>0</v>
      </c>
      <c r="G26" s="99">
        <f>IF($F26,COUNTIFS($C$12:$C26,C26,$F$12:$F26,TRUE),0)</f>
        <v>0</v>
      </c>
      <c r="H26" s="99" t="str">
        <f t="shared" si="0"/>
        <v>1.5.2-T</v>
      </c>
      <c r="I26" s="99">
        <f>IF(AND(D26,NOT($A26=$A25)),(COUNTIF($D$11:$D25,TRUE)/3)+1,0)</f>
        <v>0</v>
      </c>
      <c r="J26" s="99" t="s">
        <v>1014</v>
      </c>
      <c r="K26" s="99" t="b">
        <f>IF(AND(teacher_type="R",career_stage="P"),IF(AND(COUNTIFS(RPS[Strand],$B26,RPS[QET],$J26)&gt;0,$D26),TRUE,FALSE), IF(AND(teacher_type="R",career_stage="HP"),IF(AND(COUNTIFS(RHPS[Strand],$B26,RHPS[QET],$J26)&gt;0,$D26),TRUE,FALSE), IF(AND(teacher_type="TB",career_stage="P"),IF(AND(COUNTIFS(TBPS[Strand],$B26,TBPS[QET],$J26)&gt;0,$D26),TRUE,FALSE), IF(AND(teacher_type="TB",career_stage="HP"),IF(AND(COUNTIFS(TBHPS[Strand],$B26,TBHPS[QET],$J26)&gt;0,$D26),TRUE,FALSE),FALSE))))</f>
        <v>0</v>
      </c>
      <c r="L26" s="99" t="str">
        <f>IF($K26,IF(AND(teacher_type="R",career_stage="P"),VLOOKUP($B26,RPI[],COLUMNS(RPI[[Strand]:[user_selected_coi_ncoi]]),FALSE), IF(AND(teacher_type="R",career_stage="HP"),VLOOKUP($B26,RHPI[],COLUMNS(RHPI[[Strand]:[user_selected_coi_ncoi]]),FALSE), IF(AND(teacher_type="TB",career_stage="P"),VLOOKUP($B26,TBPI[],COLUMNS(TBPI[[Strand]:[user_selected_coi_ncoi]]),FALSE), IF(AND(teacher_type="TB",career_stage="HP"),VLOOKUP($B26,TBHPI[],COLUMNS(TBHPI[[Strand]:[user_selected_coi_ncoi]]),FALSE),"")))),"")</f>
        <v/>
      </c>
      <c r="M26" s="99" t="b">
        <f>IF(AND(teacher_type="R",career_stage="P"),IF(AND(COUNTIFS(RPS[Strand],$B26,RPS[QET],M$11)&gt;0,$D26),TRUE,FALSE),IF(AND(teacher_type="R",career_stage="HP"),IF(AND(COUNTIFS(RHPS[Strand],$B26,RHPS[QET],M$11)&gt;0,$D26),TRUE,FALSE), IF(AND(teacher_type="TB",career_stage="P"),IF(AND(COUNTIFS(TBPS[Strand],$B26,TBPS[QET],M$11)&gt;0,$D26),TRUE,FALSE), IF(AND(teacher_type="TB",career_stage="HP"),IF(AND(COUNTIFS(TBHPS[Strand],$B26,TBHPS[QET],M$11)&gt;0,$D26),TRUE,FALSE),FALSE))))</f>
        <v>1</v>
      </c>
      <c r="N26" s="99" t="b">
        <f>IF(AND(teacher_type="R",career_stage="P"),IF(AND(COUNTIFS(RPS[Strand],$B26,RPS[QET],N$11)&gt;0,$D26),TRUE,FALSE),IF(AND(teacher_type="R",career_stage="HP"),IF(AND(COUNTIFS(RHPS[Strand],$B26,RHPS[QET],N$11)&gt;0,$D26),TRUE,FALSE), IF(AND(teacher_type="TB",career_stage="P"),IF(AND(COUNTIFS(TBPS[Strand],$B26,TBPS[QET],N$11)&gt;0,$D26),TRUE,FALSE), IF(AND(teacher_type="TB",career_stage="HP"),IF(AND(COUNTIFS(TBHPS[Strand],$B26,TBHPS[QET],N$11)&gt;0,$D26),TRUE,FALSE),FALSE))))</f>
        <v>1</v>
      </c>
      <c r="O26" s="99" t="b">
        <f>IF(AND(teacher_type="R",career_stage="P"),IF(AND(COUNTIFS(RPS[Strand],$B26,RPS[QET],O$11)&gt;0,$D26),TRUE,FALSE),IF(AND(teacher_type="R",career_stage="HP"),IF(AND(COUNTIFS(RHPS[Strand],$B26,RHPS[QET],O$11)&gt;0,$D26),TRUE,FALSE), IF(AND(teacher_type="TB",career_stage="P"),IF(AND(COUNTIFS(TBPS[Strand],$B26,TBPS[QET],O$11)&gt;0,$D26),TRUE,FALSE), IF(AND(teacher_type="TB",career_stage="HP"),IF(AND(COUNTIFS(TBHPS[Strand],$B26,TBHPS[QET],O$11)&gt;0,$D26),TRUE,FALSE),FALSE))))</f>
        <v>0</v>
      </c>
      <c r="P26" s="710"/>
      <c r="Q26" s="687"/>
      <c r="R26" s="663"/>
      <c r="S26" s="664"/>
      <c r="T26" s="684"/>
      <c r="U26" s="94" t="s">
        <v>1187</v>
      </c>
      <c r="V26" s="391" t="str">
        <f ca="1">IFERROR(IF($O26,IF(AND(career_stage="P",teacher_type="R"),INDEX(INDIRECT("RPS["&amp;V$10&amp;"]"),MATCH($H26,RPS[helper],0),1), IF(AND(career_stage="HP",teacher_type="R"), INDEX(INDIRECT("RHPS["&amp;V$10&amp;"]"),MATCH($H26,RHPS[helper],0),1), IF(AND(career_stage="P",teacher_type="TB"),INDEX(INDIRECT("TBPS["&amp;V$10&amp;"]"),MATCH($H26,TBPS[helper],0),1), IF(AND(career_stage="HP",teacher_type="TB"),INDEX(INDIRECT("TBHPS["&amp;V$10&amp;"]"),MATCH($H26,TBHPS[helper],0),1),"")))),""),"")</f>
        <v/>
      </c>
      <c r="W26" s="391" t="str">
        <f ca="1">IFERROR(IF($O26,IF(AND(career_stage="P",teacher_type="R"),INDEX(INDIRECT("RPS["&amp;W$10&amp;"]"),MATCH($H26,RPS[helper],0),1), IF(AND(career_stage="HP",teacher_type="R"), INDEX(INDIRECT("RHPS["&amp;W$10&amp;"]"),MATCH($H26,RHPS[helper],0),1), IF(AND(career_stage="P",teacher_type="TB"),INDEX(INDIRECT("TBPS["&amp;W$10&amp;"]"),MATCH($H26,TBPS[helper],0),1), IF(AND(career_stage="HP",teacher_type="TB"),INDEX(INDIRECT("TBHPS["&amp;W$10&amp;"]"),MATCH($H26,TBHPS[helper],0),1),"")))),""),"")</f>
        <v/>
      </c>
      <c r="X26" s="391" t="str">
        <f ca="1">IFERROR(IF($O26,IF(AND(career_stage="P",teacher_type="R"),INDEX(INDIRECT("RPS["&amp;X$10&amp;"]"),MATCH($H26,RPS[helper],0),1), IF(AND(career_stage="HP",teacher_type="R"), INDEX(INDIRECT("RHPS["&amp;X$10&amp;"]"),MATCH($H26,RHPS[helper],0),1), IF(AND(career_stage="P",teacher_type="TB"),INDEX(INDIRECT("TBPS["&amp;X$10&amp;"]"),MATCH($H26,TBPS[helper],0),1), IF(AND(career_stage="HP",teacher_type="TB"),INDEX(INDIRECT("TBHPS["&amp;X$10&amp;"]"),MATCH($H26,TBHPS[helper],0),1),"")))),""),"")</f>
        <v/>
      </c>
      <c r="Y26" s="391" t="str">
        <f ca="1">IFERROR(IF($O26,IF(AND(career_stage="P",teacher_type="R"),INDEX(INDIRECT("RPS["&amp;Y$10&amp;"]"),MATCH($H26,RPS[helper],0),1), IF(AND(career_stage="HP",teacher_type="R"), INDEX(INDIRECT("RHPS["&amp;Y$10&amp;"]"),MATCH($H26,RHPS[helper],0),1), IF(AND(career_stage="P",teacher_type="TB"),INDEX(INDIRECT("TBPS["&amp;Y$10&amp;"]"),MATCH($H26,TBPS[helper],0),1), IF(AND(career_stage="HP",teacher_type="TB"),INDEX(INDIRECT("TBHPS["&amp;Y$10&amp;"]"),MATCH($H26,TBHPS[helper],0),1),"")))),""),"")</f>
        <v/>
      </c>
      <c r="Z26" s="391" t="str">
        <f ca="1">IFERROR(IF($O26,IF(AND(career_stage="P",teacher_type="R"),INDEX(INDIRECT("RPS["&amp;Z$10&amp;"]"),MATCH($H26,RPS[helper],0),1), IF(AND(career_stage="HP",teacher_type="R"), INDEX(INDIRECT("RHPS["&amp;Z$10&amp;"]"),MATCH($H26,RHPS[helper],0),1), IF(AND(career_stage="P",teacher_type="TB"),INDEX(INDIRECT("TBPS["&amp;Z$10&amp;"]"),MATCH($H26,TBPS[helper],0),1), IF(AND(career_stage="HP",teacher_type="TB"),INDEX(INDIRECT("TBHPS["&amp;Z$10&amp;"]"),MATCH($H26,TBHPS[helper],0),1),"")))),""),"")</f>
        <v/>
      </c>
      <c r="AA26" s="391" t="str" cm="1">
        <f t="array" ref="AA26">IFERROR(INDEX(V26:Z26,6-AD24),"")</f>
        <v/>
      </c>
      <c r="AB26" s="680"/>
      <c r="AC26" s="680"/>
      <c r="AD26" s="680"/>
      <c r="AE26" s="682"/>
      <c r="AF26" s="661"/>
      <c r="AG26" s="5"/>
    </row>
    <row r="27" spans="1:33" ht="76.5" x14ac:dyDescent="0.25">
      <c r="A27" s="92">
        <v>6</v>
      </c>
      <c r="B27" s="99" t="str" cm="1">
        <f t="array" ref="B27">IFERROR(IF(AND(teacher_type="R",career_stage="P"),INDEX(RPI[Strand],$A27),IF(AND(teacher_type="R",career_stage="HP"),INDEX(RHPI[Strand],$A27), IF(AND(teacher_type="TB",career_stage="P"),INDEX(TBPI[Strand],$A27), IF(AND(teacher_type="TB",career_stage="HP"),INDEX(TBHPI[Strand],$A27),0)))),0)</f>
        <v>1.6.2</v>
      </c>
      <c r="C27" s="99">
        <f>IFERROR(IF(AND(teacher_type="R",career_stage="P"),VLOOKUP($B27,RPI[[Strand]:[Domain]],COLUMNS(RPI[[Strand]:[Domain]]),FALSE), IF(AND(teacher_type="R",career_stage="HP"),VLOOKUP($B27,RHPI[[Strand]:[Domain]],COLUMNS(RHPI[[Strand]:[Domain]]),FALSE), IF(AND(teacher_type="TB",career_stage="P"),VLOOKUP($B27,TBPI[[Strand]:[Domain]],COLUMNS(TBPI[[Strand]:[Domain]]),FALSE), IF(AND(teacher_type="TB",career_stage="HP"),VLOOKUP($B27,TBHPI[[Strand]:[Domain]],COLUMNS(TBHPI[[Strand]:[Domain]]),FALSE),"")))),"")</f>
        <v>1</v>
      </c>
      <c r="D27" s="99" t="b">
        <f>IFERROR(IF(AND(career_stage="P",teacher_type="R"),VLOOKUP(B27,RPI[],COLUMNS(RPI[[Strand]:[Selected]]),FALSE), IF(AND(career_stage="HP",teacher_type="R"),VLOOKUP(B27,RHPI[],COLUMNS(RHPI[[Strand]:[Selected]]),FALSE), IF(AND(career_stage="P",teacher_type="TB"),VLOOKUP(B27,TBPI[],COLUMNS(TBPI[[Strand]:[Selected]]),FALSE), IF(AND(career_stage="HP",teacher_type="TB"),VLOOKUP(B27,TBHPI[],COLUMNS(TBHPI[[Strand]:[Selected]]),FALSE),FALSE)))),FALSE)</f>
        <v>1</v>
      </c>
      <c r="E27" s="92" t="b">
        <f>COUNTIFS($C$12:$C27,C27,$D$12:$D27,TRUE)=1</f>
        <v>0</v>
      </c>
      <c r="F27" s="92" t="b">
        <f>COUNTIFS($C$12:$C27,$C27,$B$12:$B27,$B27,$D$12:$D27,TRUE)=1</f>
        <v>1</v>
      </c>
      <c r="G27" s="99">
        <f>IF($F27,COUNTIFS($C$12:$C27,C27,$F$12:$F27,TRUE),0)</f>
        <v>4</v>
      </c>
      <c r="H27" s="99" t="str">
        <f t="shared" si="0"/>
        <v>1.6.2-Q-COI</v>
      </c>
      <c r="I27" s="99">
        <f>IF(AND(D27,NOT($A27=$A26)),(COUNTIF($D$11:$D26,TRUE)/3)+1,0)</f>
        <v>4</v>
      </c>
      <c r="J27" s="99" t="s">
        <v>1012</v>
      </c>
      <c r="K27" s="99" t="b">
        <f>IF(AND(teacher_type="R",career_stage="P"),IF(AND(COUNTIFS(RPS[Strand],$B27,RPS[QET],$J27)&gt;0,$D27),TRUE,FALSE), IF(AND(teacher_type="R",career_stage="HP"),IF(AND(COUNTIFS(RHPS[Strand],$B27,RHPS[QET],$J27)&gt;0,$D27),TRUE,FALSE), IF(AND(teacher_type="TB",career_stage="P"),IF(AND(COUNTIFS(TBPS[Strand],$B27,TBPS[QET],$J27)&gt;0,$D27),TRUE,FALSE), IF(AND(teacher_type="TB",career_stage="HP"),IF(AND(COUNTIFS(TBHPS[Strand],$B27,TBHPS[QET],$J27)&gt;0,$D27),TRUE,FALSE),FALSE))))</f>
        <v>1</v>
      </c>
      <c r="L27" s="99" t="str">
        <f>IF($K27,IF(AND(teacher_type="R",career_stage="P"),VLOOKUP($B27,RPI[],COLUMNS(RPI[[Strand]:[user_selected_coi_ncoi]]),FALSE), IF(AND(teacher_type="R",career_stage="HP"),VLOOKUP($B27,RHPI[],COLUMNS(RHPI[[Strand]:[user_selected_coi_ncoi]]),FALSE), IF(AND(teacher_type="TB",career_stage="P"),VLOOKUP($B27,TBPI[],COLUMNS(TBPI[[Strand]:[user_selected_coi_ncoi]]),FALSE), IF(AND(teacher_type="TB",career_stage="HP"),VLOOKUP($B27,TBHPI[],COLUMNS(TBHPI[[Strand]:[user_selected_coi_ncoi]]),FALSE),"")))),"")</f>
        <v>COI</v>
      </c>
      <c r="M27" s="99" t="b">
        <f>IF(AND(teacher_type="R",career_stage="P"),IF(AND(COUNTIFS(RPS[Strand],$B27,RPS[QET],M$11)&gt;0,$D27),TRUE,FALSE),IF(AND(teacher_type="R",career_stage="HP"),IF(AND(COUNTIFS(RHPS[Strand],$B27,RHPS[QET],M$11)&gt;0,$D27),TRUE,FALSE), IF(AND(teacher_type="TB",career_stage="P"),IF(AND(COUNTIFS(TBPS[Strand],$B27,TBPS[QET],M$11)&gt;0,$D27),TRUE,FALSE), IF(AND(teacher_type="TB",career_stage="HP"),IF(AND(COUNTIFS(TBHPS[Strand],$B27,TBHPS[QET],M$11)&gt;0,$D27),TRUE,FALSE),FALSE))))</f>
        <v>1</v>
      </c>
      <c r="N27" s="99" t="b">
        <f>IF(AND(teacher_type="R",career_stage="P"),IF(AND(COUNTIFS(RPS[Strand],$B27,RPS[QET],N$11)&gt;0,$D27),TRUE,FALSE),IF(AND(teacher_type="R",career_stage="HP"),IF(AND(COUNTIFS(RHPS[Strand],$B27,RHPS[QET],N$11)&gt;0,$D27),TRUE,FALSE), IF(AND(teacher_type="TB",career_stage="P"),IF(AND(COUNTIFS(TBPS[Strand],$B27,TBPS[QET],N$11)&gt;0,$D27),TRUE,FALSE), IF(AND(teacher_type="TB",career_stage="HP"),IF(AND(COUNTIFS(TBHPS[Strand],$B27,TBHPS[QET],N$11)&gt;0,$D27),TRUE,FALSE),FALSE))))</f>
        <v>1</v>
      </c>
      <c r="O27" s="99" t="b">
        <f>IF(AND(teacher_type="R",career_stage="P"),IF(AND(COUNTIFS(RPS[Strand],$B27,RPS[QET],O$11)&gt;0,$D27),TRUE,FALSE),IF(AND(teacher_type="R",career_stage="HP"),IF(AND(COUNTIFS(RHPS[Strand],$B27,RHPS[QET],O$11)&gt;0,$D27),TRUE,FALSE), IF(AND(teacher_type="TB",career_stage="P"),IF(AND(COUNTIFS(TBPS[Strand],$B27,TBPS[QET],O$11)&gt;0,$D27),TRUE,FALSE), IF(AND(teacher_type="TB",career_stage="HP"),IF(AND(COUNTIFS(TBHPS[Strand],$B27,TBHPS[QET],O$11)&gt;0,$D27),TRUE,FALSE),FALSE))))</f>
        <v>0</v>
      </c>
      <c r="P27" s="710"/>
      <c r="Q27" s="685" t="str">
        <f>IFERROR(IF(E27,IF(C27="Plus Factor","Plus Factor",C27 &amp; ". " &amp; INDEX(Domains[Domain],MATCH(C27,Domains[Domain_code],0),1)),""),"")</f>
        <v/>
      </c>
      <c r="R27" s="688" t="str">
        <f>IFERROR(IF($F27,$I27 &amp; ". " &amp; IF(AND(career_stage="P",teacher_type="R"), INDEX(RPI[PPST Indicators],MATCH($B27,RPI[Strand],0),1), IF(AND(career_stage="HP",teacher_type="R"),INDEX(RHPI[PPST Indicators],MATCH($B27,RHPI[Strand],0),1), IF(AND(career_stage="P",teacher_type="TB"),INDEX(TBPI[PPST Indicators],MATCH($B27,TBPI[Strand],0),1), IF(AND(career_stage="HP",teacher_type="TB"),INDEX(TBHPI[PPST Indicators],MATCH($B27,TBHPI[Strand],0),1),"")))) &amp; IF(NOT(TRIM(LOWER($C27))="plus factor")," (PPST "&amp;B27&amp;")",""),""),"")</f>
        <v>4. Displayed proficient use of Mother Tongue, Filipino and English to facilitate teaching and learning (PPST 1.6.2)</v>
      </c>
      <c r="S27" s="664" t="str" cm="1">
        <f t="array" ref="S27">demographics[rating_period]</f>
        <v>SY 2023-2024</v>
      </c>
      <c r="T27" s="684">
        <f>IFERROR(IF(AND(career_stage="P",teacher_type="R"),VLOOKUP(B27,RPI[],COLUMNS(RPI[[Strand]:[Weight]]),FALSE), IF(AND(career_stage="HP",teacher_type="R"),VLOOKUP(B27,RHPI[],COLUMNS(RHPI[[Strand]:[Weight]]),FALSE), IF(AND(career_stage="P",teacher_type="TB"),VLOOKUP(B27,TBPI[],COLUMNS(TBPI[[Strand]:[Weight]]),FALSE), IF(AND(career_stage="HP",teacher_type="TB"),VLOOKUP(B27,TBHPI[],COLUMNS(TBHPI[[Strand]:[Weight]]),FALSE),0)))),0)</f>
        <v>7.0000000000000007E-2</v>
      </c>
      <c r="U27" s="94" t="s">
        <v>1185</v>
      </c>
      <c r="V27" s="391" t="str">
        <f ca="1">IFERROR(IF($M27,IF(AND(career_stage="P",teacher_type="R"),INDEX(INDIRECT("RPS["&amp;V$10&amp;"]"),MATCH($H27,RPS[helper],0),1), IF(AND(career_stage="HP",teacher_type="R"), INDEX(INDIRECT("RHPS["&amp;V$10&amp;"]"),MATCH($H27,RHPS[helper],0),1), IF(AND(career_stage="P",teacher_type="TB"),INDEX(INDIRECT("TBPS["&amp;V$10&amp;"]"),MATCH($H27,TBPS[helper],0),1), IF(AND(career_stage="HP",teacher_type="TB"),INDEX(INDIRECT("TBHPS["&amp;V$10&amp;"]"),MATCH($H27,TBHPS[helper],0),1),"")))),""),"")</f>
        <v>Demonstrated Level 7 as shown in COT rating sheets/inter- observer agreement forms</v>
      </c>
      <c r="W27" s="391" t="str">
        <f ca="1">IFERROR(IF($M27,IF(AND(career_stage="P",teacher_type="R"),INDEX(INDIRECT("RPS["&amp;W$10&amp;"]"),MATCH($H27,RPS[helper],0),1), IF(AND(career_stage="HP",teacher_type="R"), INDEX(INDIRECT("RHPS["&amp;W$10&amp;"]"),MATCH($H27,RHPS[helper],0),1), IF(AND(career_stage="P",teacher_type="TB"),INDEX(INDIRECT("TBPS["&amp;W$10&amp;"]"),MATCH($H27,TBPS[helper],0),1), IF(AND(career_stage="HP",teacher_type="TB"),INDEX(INDIRECT("TBHPS["&amp;W$10&amp;"]"),MATCH($H27,TBHPS[helper],0),1),"")))),""),"")</f>
        <v>Demonstrated Level 6 as shown in COT rating sheets/inter- observer agreement forms</v>
      </c>
      <c r="X27" s="391" t="str">
        <f ca="1">IFERROR(IF($M27,IF(AND(career_stage="P",teacher_type="R"),INDEX(INDIRECT("RPS["&amp;X$10&amp;"]"),MATCH($H27,RPS[helper],0),1), IF(AND(career_stage="HP",teacher_type="R"), INDEX(INDIRECT("RHPS["&amp;X$10&amp;"]"),MATCH($H27,RHPS[helper],0),1), IF(AND(career_stage="P",teacher_type="TB"),INDEX(INDIRECT("TBPS["&amp;X$10&amp;"]"),MATCH($H27,TBPS[helper],0),1), IF(AND(career_stage="HP",teacher_type="TB"),INDEX(INDIRECT("TBHPS["&amp;X$10&amp;"]"),MATCH($H27,TBHPS[helper],0),1),"")))),""),"")</f>
        <v>Demonstrated Level 5 as shown in COT rating sheets/inter- observer agreement forms</v>
      </c>
      <c r="Y27" s="391" t="str">
        <f ca="1">IFERROR(IF($M27,IF(AND(career_stage="P",teacher_type="R"),INDEX(INDIRECT("RPS["&amp;Y$10&amp;"]"),MATCH($H27,RPS[helper],0),1), IF(AND(career_stage="HP",teacher_type="R"), INDEX(INDIRECT("RHPS["&amp;Y$10&amp;"]"),MATCH($H27,RHPS[helper],0),1), IF(AND(career_stage="P",teacher_type="TB"),INDEX(INDIRECT("TBPS["&amp;Y$10&amp;"]"),MATCH($H27,TBPS[helper],0),1), IF(AND(career_stage="HP",teacher_type="TB"),INDEX(INDIRECT("TBHPS["&amp;Y$10&amp;"]"),MATCH($H27,TBHPS[helper],0),1),"")))),""),"")</f>
        <v>Demonstrated Level 4 as shown in COT rating sheets/inter- observer agreement forms</v>
      </c>
      <c r="Z27" s="391" t="str">
        <f ca="1">IFERROR(IF($M27,IF(AND(career_stage="P",teacher_type="R"),INDEX(INDIRECT("RPS["&amp;Z$10&amp;"]"),MATCH($H27,RPS[helper],0),1), IF(AND(career_stage="HP",teacher_type="R"), INDEX(INDIRECT("RHPS["&amp;Z$10&amp;"]"),MATCH($H27,RHPS[helper],0),1), IF(AND(career_stage="P",teacher_type="TB"),INDEX(INDIRECT("TBPS["&amp;Z$10&amp;"]"),MATCH($H27,TBPS[helper],0),1), IF(AND(career_stage="HP",teacher_type="TB"),INDEX(INDIRECT("TBHPS["&amp;Z$10&amp;"]"),MATCH($H27,TBHPS[helper],0),1),"")))),""),"")</f>
        <v>Demonstrated Level 3 as shown in COT rating sheets/inter- observer agreement forms or No acceptable evidence was shown</v>
      </c>
      <c r="AA27" s="392" t="str" cm="1">
        <f t="array" aca="1" ref="AA27" ca="1">IFERROR(INDEX(V27:Z27,6-AB27),"")</f>
        <v>Demonstrated Level 7 as shown in COT rating sheets/inter- observer agreement forms</v>
      </c>
      <c r="AB27" s="680">
        <f>IF('Encoding Part 1'!AB27="","",'Encoding Part 1'!AB27)</f>
        <v>5</v>
      </c>
      <c r="AC27" s="680">
        <f>IF('Encoding Part 1'!AC27="","",'Encoding Part 1'!AC27)</f>
        <v>5</v>
      </c>
      <c r="AD27" s="680" t="str">
        <f>IF('Encoding Part 1'!AD27="","",'Encoding Part 1'!AD27)</f>
        <v/>
      </c>
      <c r="AE27" s="682">
        <f t="shared" ref="AE27" si="9">IFERROR(ROUNDDOWN(AVERAGE($AB27:$AD27),3),0)</f>
        <v>5</v>
      </c>
      <c r="AF27" s="661">
        <f t="shared" ref="AF27" si="10">ROUNDDOWN($AE27*$T27,3)</f>
        <v>0.35</v>
      </c>
      <c r="AG27" s="5"/>
    </row>
    <row r="28" spans="1:33" ht="38.25" x14ac:dyDescent="0.25">
      <c r="A28" s="92">
        <v>6</v>
      </c>
      <c r="B28" s="99" t="str" cm="1">
        <f t="array" ref="B28">IFERROR(IF(AND(teacher_type="R",career_stage="P"),INDEX(RPI[Strand],$A28),IF(AND(teacher_type="R",career_stage="HP"),INDEX(RHPI[Strand],$A28), IF(AND(teacher_type="TB",career_stage="P"),INDEX(TBPI[Strand],$A28), IF(AND(teacher_type="TB",career_stage="HP"),INDEX(TBHPI[Strand],$A28),0)))),0)</f>
        <v>1.6.2</v>
      </c>
      <c r="C28" s="99">
        <f>IFERROR(IF(AND(teacher_type="R",career_stage="P"),VLOOKUP($B28,RPI[[Strand]:[Domain]],COLUMNS(RPI[[Strand]:[Domain]]),FALSE), IF(AND(teacher_type="R",career_stage="HP"),VLOOKUP($B28,RHPI[[Strand]:[Domain]],COLUMNS(RHPI[[Strand]:[Domain]]),FALSE), IF(AND(teacher_type="TB",career_stage="P"),VLOOKUP($B28,TBPI[[Strand]:[Domain]],COLUMNS(TBPI[[Strand]:[Domain]]),FALSE), IF(AND(teacher_type="TB",career_stage="HP"),VLOOKUP($B28,TBHPI[[Strand]:[Domain]],COLUMNS(TBHPI[[Strand]:[Domain]]),FALSE),"")))),"")</f>
        <v>1</v>
      </c>
      <c r="D28" s="99" t="b">
        <f>IFERROR(IF(AND(career_stage="P",teacher_type="R"),VLOOKUP(B28,RPI[],COLUMNS(RPI[[Strand]:[Selected]]),FALSE), IF(AND(career_stage="HP",teacher_type="R"),VLOOKUP(B28,RHPI[],COLUMNS(RHPI[[Strand]:[Selected]]),FALSE), IF(AND(career_stage="P",teacher_type="TB"),VLOOKUP(B28,TBPI[],COLUMNS(TBPI[[Strand]:[Selected]]),FALSE), IF(AND(career_stage="HP",teacher_type="TB"),VLOOKUP(B28,TBHPI[],COLUMNS(TBHPI[[Strand]:[Selected]]),FALSE),FALSE)))),FALSE)</f>
        <v>1</v>
      </c>
      <c r="E28" s="92" t="b">
        <f>COUNTIFS($C$12:$C28,C28,$D$12:$D28,TRUE)=1</f>
        <v>0</v>
      </c>
      <c r="F28" s="92" t="b">
        <f>COUNTIFS($C$12:$C28,$C28,$B$12:$B28,$B28,$D$12:$D28,TRUE)=1</f>
        <v>0</v>
      </c>
      <c r="G28" s="99">
        <f>IF($F28,COUNTIFS($C$12:$C28,C28,$F$12:$F28,TRUE),0)</f>
        <v>0</v>
      </c>
      <c r="H28" s="99" t="str">
        <f t="shared" si="0"/>
        <v>1.6.2-E-COI</v>
      </c>
      <c r="I28" s="99">
        <f>IF(AND(D28,NOT($A28=$A27)),(COUNTIF($D$11:$D27,TRUE)/3)+1,0)</f>
        <v>0</v>
      </c>
      <c r="J28" s="99" t="s">
        <v>1073</v>
      </c>
      <c r="K28" s="99" t="b">
        <f>IF(AND(teacher_type="R",career_stage="P"),IF(AND(COUNTIFS(RPS[Strand],$B28,RPS[QET],$J28)&gt;0,$D28),TRUE,FALSE), IF(AND(teacher_type="R",career_stage="HP"),IF(AND(COUNTIFS(RHPS[Strand],$B28,RHPS[QET],$J28)&gt;0,$D28),TRUE,FALSE), IF(AND(teacher_type="TB",career_stage="P"),IF(AND(COUNTIFS(TBPS[Strand],$B28,TBPS[QET],$J28)&gt;0,$D28),TRUE,FALSE), IF(AND(teacher_type="TB",career_stage="HP"),IF(AND(COUNTIFS(TBHPS[Strand],$B28,TBHPS[QET],$J28)&gt;0,$D28),TRUE,FALSE),FALSE))))</f>
        <v>1</v>
      </c>
      <c r="L28" s="99" t="str">
        <f>IF($K28,IF(AND(teacher_type="R",career_stage="P"),VLOOKUP($B28,RPI[],COLUMNS(RPI[[Strand]:[user_selected_coi_ncoi]]),FALSE), IF(AND(teacher_type="R",career_stage="HP"),VLOOKUP($B28,RHPI[],COLUMNS(RHPI[[Strand]:[user_selected_coi_ncoi]]),FALSE), IF(AND(teacher_type="TB",career_stage="P"),VLOOKUP($B28,TBPI[],COLUMNS(TBPI[[Strand]:[user_selected_coi_ncoi]]),FALSE), IF(AND(teacher_type="TB",career_stage="HP"),VLOOKUP($B28,TBHPI[],COLUMNS(TBHPI[[Strand]:[user_selected_coi_ncoi]]),FALSE),"")))),"")</f>
        <v>COI</v>
      </c>
      <c r="M28" s="99" t="b">
        <f>IF(AND(teacher_type="R",career_stage="P"),IF(AND(COUNTIFS(RPS[Strand],$B28,RPS[QET],M$11)&gt;0,$D28),TRUE,FALSE),IF(AND(teacher_type="R",career_stage="HP"),IF(AND(COUNTIFS(RHPS[Strand],$B28,RHPS[QET],M$11)&gt;0,$D28),TRUE,FALSE), IF(AND(teacher_type="TB",career_stage="P"),IF(AND(COUNTIFS(TBPS[Strand],$B28,TBPS[QET],M$11)&gt;0,$D28),TRUE,FALSE), IF(AND(teacher_type="TB",career_stage="HP"),IF(AND(COUNTIFS(TBHPS[Strand],$B28,TBHPS[QET],M$11)&gt;0,$D28),TRUE,FALSE),FALSE))))</f>
        <v>1</v>
      </c>
      <c r="N28" s="99" t="b">
        <f>IF(AND(teacher_type="R",career_stage="P"),IF(AND(COUNTIFS(RPS[Strand],$B28,RPS[QET],N$11)&gt;0,$D28),TRUE,FALSE),IF(AND(teacher_type="R",career_stage="HP"),IF(AND(COUNTIFS(RHPS[Strand],$B28,RHPS[QET],N$11)&gt;0,$D28),TRUE,FALSE), IF(AND(teacher_type="TB",career_stage="P"),IF(AND(COUNTIFS(TBPS[Strand],$B28,TBPS[QET],N$11)&gt;0,$D28),TRUE,FALSE), IF(AND(teacher_type="TB",career_stage="HP"),IF(AND(COUNTIFS(TBHPS[Strand],$B28,TBHPS[QET],N$11)&gt;0,$D28),TRUE,FALSE),FALSE))))</f>
        <v>1</v>
      </c>
      <c r="O28" s="99" t="b">
        <f>IF(AND(teacher_type="R",career_stage="P"),IF(AND(COUNTIFS(RPS[Strand],$B28,RPS[QET],O$11)&gt;0,$D28),TRUE,FALSE),IF(AND(teacher_type="R",career_stage="HP"),IF(AND(COUNTIFS(RHPS[Strand],$B28,RHPS[QET],O$11)&gt;0,$D28),TRUE,FALSE), IF(AND(teacher_type="TB",career_stage="P"),IF(AND(COUNTIFS(TBPS[Strand],$B28,TBPS[QET],O$11)&gt;0,$D28),TRUE,FALSE), IF(AND(teacher_type="TB",career_stage="HP"),IF(AND(COUNTIFS(TBHPS[Strand],$B28,TBHPS[QET],O$11)&gt;0,$D28),TRUE,FALSE),FALSE))))</f>
        <v>0</v>
      </c>
      <c r="P28" s="710"/>
      <c r="Q28" s="686"/>
      <c r="R28" s="688"/>
      <c r="S28" s="664"/>
      <c r="T28" s="684"/>
      <c r="U28" s="94" t="s">
        <v>1186</v>
      </c>
      <c r="V28" s="391" t="str">
        <f ca="1">IFERROR(IF($N28,IF(AND(career_stage="P",teacher_type="R"),INDEX(INDIRECT("RPS["&amp;V$10&amp;"]"),MATCH($H28,RPS[helper],0),1), IF(AND(career_stage="HP",teacher_type="R"), INDEX(INDIRECT("RHPS["&amp;V$10&amp;"]"),MATCH($H28,RHPS[helper],0),1), IF(AND(career_stage="P",teacher_type="TB"),INDEX(INDIRECT("TBPS["&amp;V$10&amp;"]"),MATCH($H28,TBPS[helper],0),1), IF(AND(career_stage="HP",teacher_type="TB"),INDEX(INDIRECT("TBHPS["&amp;V$10&amp;"]"),MATCH($H28,TBHPS[helper],0),1),"")))),""),"")</f>
        <v>Objective was met within the allotted time</v>
      </c>
      <c r="W28" s="391">
        <f ca="1">IFERROR(IF($N28,IF(AND(career_stage="P",teacher_type="R"),INDEX(INDIRECT("RPS["&amp;W$10&amp;"]"),MATCH($H28,RPS[helper],0),1), IF(AND(career_stage="HP",teacher_type="R"), INDEX(INDIRECT("RHPS["&amp;W$10&amp;"]"),MATCH($H28,RHPS[helper],0),1), IF(AND(career_stage="P",teacher_type="TB"),INDEX(INDIRECT("TBPS["&amp;W$10&amp;"]"),MATCH($H28,TBPS[helper],0),1), IF(AND(career_stage="HP",teacher_type="TB"),INDEX(INDIRECT("TBHPS["&amp;W$10&amp;"]"),MATCH($H28,TBHPS[helper],0),1),"")))),""),"")</f>
        <v>0</v>
      </c>
      <c r="X28" s="391" t="str">
        <f ca="1">IFERROR(IF($N28,IF(AND(career_stage="P",teacher_type="R"),INDEX(INDIRECT("RPS["&amp;X$10&amp;"]"),MATCH($H28,RPS[helper],0),1), IF(AND(career_stage="HP",teacher_type="R"), INDEX(INDIRECT("RHPS["&amp;X$10&amp;"]"),MATCH($H28,RHPS[helper],0),1), IF(AND(career_stage="P",teacher_type="TB"),INDEX(INDIRECT("TBPS["&amp;X$10&amp;"]"),MATCH($H28,TBPS[helper],0),1), IF(AND(career_stage="HP",teacher_type="TB"),INDEX(INDIRECT("TBHPS["&amp;X$10&amp;"]"),MATCH($H28,TBHPS[helper],0),1),"")))),""),"")</f>
        <v>Objective was met but instruction exceeded the allotted time</v>
      </c>
      <c r="Y28" s="391">
        <f ca="1">IFERROR(IF($N28,IF(AND(career_stage="P",teacher_type="R"),INDEX(INDIRECT("RPS["&amp;Y$10&amp;"]"),MATCH($H28,RPS[helper],0),1), IF(AND(career_stage="HP",teacher_type="R"), INDEX(INDIRECT("RHPS["&amp;Y$10&amp;"]"),MATCH($H28,RHPS[helper],0),1), IF(AND(career_stage="P",teacher_type="TB"),INDEX(INDIRECT("TBPS["&amp;Y$10&amp;"]"),MATCH($H28,TBPS[helper],0),1), IF(AND(career_stage="HP",teacher_type="TB"),INDEX(INDIRECT("TBHPS["&amp;Y$10&amp;"]"),MATCH($H28,TBHPS[helper],0),1),"")))),""),"")</f>
        <v>0</v>
      </c>
      <c r="Z28" s="391" t="str">
        <f ca="1">IFERROR(IF($N28,IF(AND(career_stage="P",teacher_type="R"),INDEX(INDIRECT("RPS["&amp;Z$10&amp;"]"),MATCH($H28,RPS[helper],0),1), IF(AND(career_stage="HP",teacher_type="R"), INDEX(INDIRECT("RHPS["&amp;Z$10&amp;"]"),MATCH($H28,RHPS[helper],0),1), IF(AND(career_stage="P",teacher_type="TB"),INDEX(INDIRECT("TBPS["&amp;Z$10&amp;"]"),MATCH($H28,TBPS[helper],0),1), IF(AND(career_stage="HP",teacher_type="TB"),INDEX(INDIRECT("TBHPS["&amp;Z$10&amp;"]"),MATCH($H28,TBHPS[helper],0),1),"")))),""),"")</f>
        <v>No acceptable evidence was shown</v>
      </c>
      <c r="AA28" s="392" t="str" cm="1">
        <f t="array" aca="1" ref="AA28" ca="1">IFERROR(INDEX(V28:Z28,6-AC27),"")</f>
        <v>Objective was met within the allotted time</v>
      </c>
      <c r="AB28" s="680"/>
      <c r="AC28" s="680"/>
      <c r="AD28" s="680"/>
      <c r="AE28" s="682"/>
      <c r="AF28" s="661"/>
      <c r="AG28" s="5"/>
    </row>
    <row r="29" spans="1:33" hidden="1" x14ac:dyDescent="0.25">
      <c r="A29" s="92">
        <v>6</v>
      </c>
      <c r="B29" s="99" t="str" cm="1">
        <f t="array" ref="B29">IFERROR(IF(AND(teacher_type="R",career_stage="P"),INDEX(RPI[Strand],$A29),IF(AND(teacher_type="R",career_stage="HP"),INDEX(RHPI[Strand],$A29), IF(AND(teacher_type="TB",career_stage="P"),INDEX(TBPI[Strand],$A29), IF(AND(teacher_type="TB",career_stage="HP"),INDEX(TBHPI[Strand],$A29),0)))),0)</f>
        <v>1.6.2</v>
      </c>
      <c r="C29" s="99">
        <f>IFERROR(IF(AND(teacher_type="R",career_stage="P"),VLOOKUP($B29,RPI[[Strand]:[Domain]],COLUMNS(RPI[[Strand]:[Domain]]),FALSE), IF(AND(teacher_type="R",career_stage="HP"),VLOOKUP($B29,RHPI[[Strand]:[Domain]],COLUMNS(RHPI[[Strand]:[Domain]]),FALSE), IF(AND(teacher_type="TB",career_stage="P"),VLOOKUP($B29,TBPI[[Strand]:[Domain]],COLUMNS(TBPI[[Strand]:[Domain]]),FALSE), IF(AND(teacher_type="TB",career_stage="HP"),VLOOKUP($B29,TBHPI[[Strand]:[Domain]],COLUMNS(TBHPI[[Strand]:[Domain]]),FALSE),"")))),"")</f>
        <v>1</v>
      </c>
      <c r="D29" s="99" t="b">
        <f>IFERROR(IF(AND(career_stage="P",teacher_type="R"),VLOOKUP(B29,RPI[],COLUMNS(RPI[[Strand]:[Selected]]),FALSE), IF(AND(career_stage="HP",teacher_type="R"),VLOOKUP(B29,RHPI[],COLUMNS(RHPI[[Strand]:[Selected]]),FALSE), IF(AND(career_stage="P",teacher_type="TB"),VLOOKUP(B29,TBPI[],COLUMNS(TBPI[[Strand]:[Selected]]),FALSE), IF(AND(career_stage="HP",teacher_type="TB"),VLOOKUP(B29,TBHPI[],COLUMNS(TBHPI[[Strand]:[Selected]]),FALSE),FALSE)))),FALSE)</f>
        <v>1</v>
      </c>
      <c r="E29" s="92" t="b">
        <f>COUNTIFS($C$12:$C29,C29,$D$12:$D29,TRUE)=1</f>
        <v>0</v>
      </c>
      <c r="F29" s="92" t="b">
        <f>COUNTIFS($C$12:$C29,$C29,$B$12:$B29,$B29,$D$12:$D29,TRUE)=1</f>
        <v>0</v>
      </c>
      <c r="G29" s="99">
        <f>IF($F29,COUNTIFS($C$12:$C29,C29,$F$12:$F29,TRUE),0)</f>
        <v>0</v>
      </c>
      <c r="H29" s="99" t="str">
        <f t="shared" si="0"/>
        <v>1.6.2-T</v>
      </c>
      <c r="I29" s="99">
        <f>IF(AND(D29,NOT($A29=$A28)),(COUNTIF($D$11:$D28,TRUE)/3)+1,0)</f>
        <v>0</v>
      </c>
      <c r="J29" s="99" t="s">
        <v>1014</v>
      </c>
      <c r="K29" s="99" t="b">
        <f>IF(AND(teacher_type="R",career_stage="P"),IF(AND(COUNTIFS(RPS[Strand],$B29,RPS[QET],$J29)&gt;0,$D29),TRUE,FALSE), IF(AND(teacher_type="R",career_stage="HP"),IF(AND(COUNTIFS(RHPS[Strand],$B29,RHPS[QET],$J29)&gt;0,$D29),TRUE,FALSE), IF(AND(teacher_type="TB",career_stage="P"),IF(AND(COUNTIFS(TBPS[Strand],$B29,TBPS[QET],$J29)&gt;0,$D29),TRUE,FALSE), IF(AND(teacher_type="TB",career_stage="HP"),IF(AND(COUNTIFS(TBHPS[Strand],$B29,TBHPS[QET],$J29)&gt;0,$D29),TRUE,FALSE),FALSE))))</f>
        <v>0</v>
      </c>
      <c r="L29" s="99" t="str">
        <f>IF($K29,IF(AND(teacher_type="R",career_stage="P"),VLOOKUP($B29,RPI[],COLUMNS(RPI[[Strand]:[user_selected_coi_ncoi]]),FALSE), IF(AND(teacher_type="R",career_stage="HP"),VLOOKUP($B29,RHPI[],COLUMNS(RHPI[[Strand]:[user_selected_coi_ncoi]]),FALSE), IF(AND(teacher_type="TB",career_stage="P"),VLOOKUP($B29,TBPI[],COLUMNS(TBPI[[Strand]:[user_selected_coi_ncoi]]),FALSE), IF(AND(teacher_type="TB",career_stage="HP"),VLOOKUP($B29,TBHPI[],COLUMNS(TBHPI[[Strand]:[user_selected_coi_ncoi]]),FALSE),"")))),"")</f>
        <v/>
      </c>
      <c r="M29" s="99" t="b">
        <f>IF(AND(teacher_type="R",career_stage="P"),IF(AND(COUNTIFS(RPS[Strand],$B29,RPS[QET],M$11)&gt;0,$D29),TRUE,FALSE),IF(AND(teacher_type="R",career_stage="HP"),IF(AND(COUNTIFS(RHPS[Strand],$B29,RHPS[QET],M$11)&gt;0,$D29),TRUE,FALSE), IF(AND(teacher_type="TB",career_stage="P"),IF(AND(COUNTIFS(TBPS[Strand],$B29,TBPS[QET],M$11)&gt;0,$D29),TRUE,FALSE), IF(AND(teacher_type="TB",career_stage="HP"),IF(AND(COUNTIFS(TBHPS[Strand],$B29,TBHPS[QET],M$11)&gt;0,$D29),TRUE,FALSE),FALSE))))</f>
        <v>1</v>
      </c>
      <c r="N29" s="99" t="b">
        <f>IF(AND(teacher_type="R",career_stage="P"),IF(AND(COUNTIFS(RPS[Strand],$B29,RPS[QET],N$11)&gt;0,$D29),TRUE,FALSE),IF(AND(teacher_type="R",career_stage="HP"),IF(AND(COUNTIFS(RHPS[Strand],$B29,RHPS[QET],N$11)&gt;0,$D29),TRUE,FALSE), IF(AND(teacher_type="TB",career_stage="P"),IF(AND(COUNTIFS(TBPS[Strand],$B29,TBPS[QET],N$11)&gt;0,$D29),TRUE,FALSE), IF(AND(teacher_type="TB",career_stage="HP"),IF(AND(COUNTIFS(TBHPS[Strand],$B29,TBHPS[QET],N$11)&gt;0,$D29),TRUE,FALSE),FALSE))))</f>
        <v>1</v>
      </c>
      <c r="O29" s="99" t="b">
        <f>IF(AND(teacher_type="R",career_stage="P"),IF(AND(COUNTIFS(RPS[Strand],$B29,RPS[QET],O$11)&gt;0,$D29),TRUE,FALSE),IF(AND(teacher_type="R",career_stage="HP"),IF(AND(COUNTIFS(RHPS[Strand],$B29,RHPS[QET],O$11)&gt;0,$D29),TRUE,FALSE), IF(AND(teacher_type="TB",career_stage="P"),IF(AND(COUNTIFS(TBPS[Strand],$B29,TBPS[QET],O$11)&gt;0,$D29),TRUE,FALSE), IF(AND(teacher_type="TB",career_stage="HP"),IF(AND(COUNTIFS(TBHPS[Strand],$B29,TBHPS[QET],O$11)&gt;0,$D29),TRUE,FALSE),FALSE))))</f>
        <v>0</v>
      </c>
      <c r="P29" s="710"/>
      <c r="Q29" s="687"/>
      <c r="R29" s="688"/>
      <c r="S29" s="664"/>
      <c r="T29" s="684"/>
      <c r="U29" s="94" t="s">
        <v>1187</v>
      </c>
      <c r="V29" s="391" t="str">
        <f ca="1">IFERROR(IF($O29,IF(AND(career_stage="P",teacher_type="R"),INDEX(INDIRECT("RPS["&amp;V$10&amp;"]"),MATCH($H29,RPS[helper],0),1), IF(AND(career_stage="HP",teacher_type="R"), INDEX(INDIRECT("RHPS["&amp;V$10&amp;"]"),MATCH($H29,RHPS[helper],0),1), IF(AND(career_stage="P",teacher_type="TB"),INDEX(INDIRECT("TBPS["&amp;V$10&amp;"]"),MATCH($H29,TBPS[helper],0),1), IF(AND(career_stage="HP",teacher_type="TB"),INDEX(INDIRECT("TBHPS["&amp;V$10&amp;"]"),MATCH($H29,TBHPS[helper],0),1),"")))),""),"")</f>
        <v/>
      </c>
      <c r="W29" s="391" t="str">
        <f ca="1">IFERROR(IF($O29,IF(AND(career_stage="P",teacher_type="R"),INDEX(INDIRECT("RPS["&amp;W$10&amp;"]"),MATCH($H29,RPS[helper],0),1), IF(AND(career_stage="HP",teacher_type="R"), INDEX(INDIRECT("RHPS["&amp;W$10&amp;"]"),MATCH($H29,RHPS[helper],0),1), IF(AND(career_stage="P",teacher_type="TB"),INDEX(INDIRECT("TBPS["&amp;W$10&amp;"]"),MATCH($H29,TBPS[helper],0),1), IF(AND(career_stage="HP",teacher_type="TB"),INDEX(INDIRECT("TBHPS["&amp;W$10&amp;"]"),MATCH($H29,TBHPS[helper],0),1),"")))),""),"")</f>
        <v/>
      </c>
      <c r="X29" s="391" t="str">
        <f ca="1">IFERROR(IF($O29,IF(AND(career_stage="P",teacher_type="R"),INDEX(INDIRECT("RPS["&amp;X$10&amp;"]"),MATCH($H29,RPS[helper],0),1), IF(AND(career_stage="HP",teacher_type="R"), INDEX(INDIRECT("RHPS["&amp;X$10&amp;"]"),MATCH($H29,RHPS[helper],0),1), IF(AND(career_stage="P",teacher_type="TB"),INDEX(INDIRECT("TBPS["&amp;X$10&amp;"]"),MATCH($H29,TBPS[helper],0),1), IF(AND(career_stage="HP",teacher_type="TB"),INDEX(INDIRECT("TBHPS["&amp;X$10&amp;"]"),MATCH($H29,TBHPS[helper],0),1),"")))),""),"")</f>
        <v/>
      </c>
      <c r="Y29" s="391" t="str">
        <f ca="1">IFERROR(IF($O29,IF(AND(career_stage="P",teacher_type="R"),INDEX(INDIRECT("RPS["&amp;Y$10&amp;"]"),MATCH($H29,RPS[helper],0),1), IF(AND(career_stage="HP",teacher_type="R"), INDEX(INDIRECT("RHPS["&amp;Y$10&amp;"]"),MATCH($H29,RHPS[helper],0),1), IF(AND(career_stage="P",teacher_type="TB"),INDEX(INDIRECT("TBPS["&amp;Y$10&amp;"]"),MATCH($H29,TBPS[helper],0),1), IF(AND(career_stage="HP",teacher_type="TB"),INDEX(INDIRECT("TBHPS["&amp;Y$10&amp;"]"),MATCH($H29,TBHPS[helper],0),1),"")))),""),"")</f>
        <v/>
      </c>
      <c r="Z29" s="391" t="str">
        <f ca="1">IFERROR(IF($O29,IF(AND(career_stage="P",teacher_type="R"),INDEX(INDIRECT("RPS["&amp;Z$10&amp;"]"),MATCH($H29,RPS[helper],0),1), IF(AND(career_stage="HP",teacher_type="R"), INDEX(INDIRECT("RHPS["&amp;Z$10&amp;"]"),MATCH($H29,RHPS[helper],0),1), IF(AND(career_stage="P",teacher_type="TB"),INDEX(INDIRECT("TBPS["&amp;Z$10&amp;"]"),MATCH($H29,TBPS[helper],0),1), IF(AND(career_stage="HP",teacher_type="TB"),INDEX(INDIRECT("TBHPS["&amp;Z$10&amp;"]"),MATCH($H29,TBHPS[helper],0),1),"")))),""),"")</f>
        <v/>
      </c>
      <c r="AA29" s="391" t="str" cm="1">
        <f t="array" ref="AA29">IFERROR(INDEX(V29:Z29,6-AD27),"")</f>
        <v/>
      </c>
      <c r="AB29" s="680"/>
      <c r="AC29" s="680"/>
      <c r="AD29" s="680"/>
      <c r="AE29" s="682"/>
      <c r="AF29" s="661"/>
      <c r="AG29" s="5"/>
    </row>
    <row r="30" spans="1:33" hidden="1" x14ac:dyDescent="0.25">
      <c r="A30" s="92">
        <v>7</v>
      </c>
      <c r="B30" s="99" t="str" cm="1">
        <f t="array" ref="B30">IFERROR(IF(AND(teacher_type="R",career_stage="P"),INDEX(RPI[Strand],$A30),IF(AND(teacher_type="R",career_stage="HP"),INDEX(RHPI[Strand],$A30), IF(AND(teacher_type="TB",career_stage="P"),INDEX(TBPI[Strand],$A30), IF(AND(teacher_type="TB",career_stage="HP"),INDEX(TBHPI[Strand],$A30),0)))),0)</f>
        <v>1.7.2</v>
      </c>
      <c r="C30" s="99">
        <f>IFERROR(IF(AND(teacher_type="R",career_stage="P"),VLOOKUP($B30,RPI[[Strand]:[Domain]],COLUMNS(RPI[[Strand]:[Domain]]),FALSE), IF(AND(teacher_type="R",career_stage="HP"),VLOOKUP($B30,RHPI[[Strand]:[Domain]],COLUMNS(RHPI[[Strand]:[Domain]]),FALSE), IF(AND(teacher_type="TB",career_stage="P"),VLOOKUP($B30,TBPI[[Strand]:[Domain]],COLUMNS(TBPI[[Strand]:[Domain]]),FALSE), IF(AND(teacher_type="TB",career_stage="HP"),VLOOKUP($B30,TBHPI[[Strand]:[Domain]],COLUMNS(TBHPI[[Strand]:[Domain]]),FALSE),"")))),"")</f>
        <v>1</v>
      </c>
      <c r="D30" s="99" t="b">
        <f>IFERROR(IF(AND(career_stage="P",teacher_type="R"),VLOOKUP(B30,RPI[],COLUMNS(RPI[[Strand]:[Selected]]),FALSE), IF(AND(career_stage="HP",teacher_type="R"),VLOOKUP(B30,RHPI[],COLUMNS(RHPI[[Strand]:[Selected]]),FALSE), IF(AND(career_stage="P",teacher_type="TB"),VLOOKUP(B30,TBPI[],COLUMNS(TBPI[[Strand]:[Selected]]),FALSE), IF(AND(career_stage="HP",teacher_type="TB"),VLOOKUP(B30,TBHPI[],COLUMNS(TBHPI[[Strand]:[Selected]]),FALSE),FALSE)))),FALSE)</f>
        <v>0</v>
      </c>
      <c r="E30" s="92" t="b">
        <f>COUNTIFS($C$12:$C30,C30,$D$12:$D30,TRUE)=1</f>
        <v>0</v>
      </c>
      <c r="F30" s="92" t="b">
        <f>COUNTIFS($C$12:$C30,$C30,$B$12:$B30,$B30,$D$12:$D30,TRUE)=1</f>
        <v>0</v>
      </c>
      <c r="G30" s="99">
        <f>IF($F30,COUNTIFS($C$12:$C30,C30,$F$12:$F30,TRUE),0)</f>
        <v>0</v>
      </c>
      <c r="H30" s="99" t="str">
        <f t="shared" si="0"/>
        <v>1.7.2-Q</v>
      </c>
      <c r="I30" s="99">
        <f>IF(AND(D30,NOT($A30=$A29)),(COUNTIF($D$11:$D29,TRUE)/3)+1,0)</f>
        <v>0</v>
      </c>
      <c r="J30" s="99" t="s">
        <v>1012</v>
      </c>
      <c r="K30" s="99" t="b">
        <f>IF(AND(teacher_type="R",career_stage="P"),IF(AND(COUNTIFS(RPS[Strand],$B30,RPS[QET],$J30)&gt;0,$D30),TRUE,FALSE), IF(AND(teacher_type="R",career_stage="HP"),IF(AND(COUNTIFS(RHPS[Strand],$B30,RHPS[QET],$J30)&gt;0,$D30),TRUE,FALSE), IF(AND(teacher_type="TB",career_stage="P"),IF(AND(COUNTIFS(TBPS[Strand],$B30,TBPS[QET],$J30)&gt;0,$D30),TRUE,FALSE), IF(AND(teacher_type="TB",career_stage="HP"),IF(AND(COUNTIFS(TBHPS[Strand],$B30,TBHPS[QET],$J30)&gt;0,$D30),TRUE,FALSE),FALSE))))</f>
        <v>0</v>
      </c>
      <c r="L30" s="99" t="str">
        <f>IF($K30,IF(AND(teacher_type="R",career_stage="P"),VLOOKUP($B30,RPI[],COLUMNS(RPI[[Strand]:[user_selected_coi_ncoi]]),FALSE), IF(AND(teacher_type="R",career_stage="HP"),VLOOKUP($B30,RHPI[],COLUMNS(RHPI[[Strand]:[user_selected_coi_ncoi]]),FALSE), IF(AND(teacher_type="TB",career_stage="P"),VLOOKUP($B30,TBPI[],COLUMNS(TBPI[[Strand]:[user_selected_coi_ncoi]]),FALSE), IF(AND(teacher_type="TB",career_stage="HP"),VLOOKUP($B30,TBHPI[],COLUMNS(TBHPI[[Strand]:[user_selected_coi_ncoi]]),FALSE),"")))),"")</f>
        <v/>
      </c>
      <c r="M30" s="99" t="b">
        <f>IF(AND(teacher_type="R",career_stage="P"),IF(AND(COUNTIFS(RPS[Strand],$B30,RPS[QET],M$11)&gt;0,$D30),TRUE,FALSE),IF(AND(teacher_type="R",career_stage="HP"),IF(AND(COUNTIFS(RHPS[Strand],$B30,RHPS[QET],M$11)&gt;0,$D30),TRUE,FALSE), IF(AND(teacher_type="TB",career_stage="P"),IF(AND(COUNTIFS(TBPS[Strand],$B30,TBPS[QET],M$11)&gt;0,$D30),TRUE,FALSE), IF(AND(teacher_type="TB",career_stage="HP"),IF(AND(COUNTIFS(TBHPS[Strand],$B30,TBHPS[QET],M$11)&gt;0,$D30),TRUE,FALSE),FALSE))))</f>
        <v>0</v>
      </c>
      <c r="N30" s="99" t="b">
        <f>IF(AND(teacher_type="R",career_stage="P"),IF(AND(COUNTIFS(RPS[Strand],$B30,RPS[QET],N$11)&gt;0,$D30),TRUE,FALSE),IF(AND(teacher_type="R",career_stage="HP"),IF(AND(COUNTIFS(RHPS[Strand],$B30,RHPS[QET],N$11)&gt;0,$D30),TRUE,FALSE), IF(AND(teacher_type="TB",career_stage="P"),IF(AND(COUNTIFS(TBPS[Strand],$B30,TBPS[QET],N$11)&gt;0,$D30),TRUE,FALSE), IF(AND(teacher_type="TB",career_stage="HP"),IF(AND(COUNTIFS(TBHPS[Strand],$B30,TBHPS[QET],N$11)&gt;0,$D30),TRUE,FALSE),FALSE))))</f>
        <v>0</v>
      </c>
      <c r="O30" s="99" t="b">
        <f>IF(AND(teacher_type="R",career_stage="P"),IF(AND(COUNTIFS(RPS[Strand],$B30,RPS[QET],O$11)&gt;0,$D30),TRUE,FALSE),IF(AND(teacher_type="R",career_stage="HP"),IF(AND(COUNTIFS(RHPS[Strand],$B30,RHPS[QET],O$11)&gt;0,$D30),TRUE,FALSE), IF(AND(teacher_type="TB",career_stage="P"),IF(AND(COUNTIFS(TBPS[Strand],$B30,TBPS[QET],O$11)&gt;0,$D30),TRUE,FALSE), IF(AND(teacher_type="TB",career_stage="HP"),IF(AND(COUNTIFS(TBHPS[Strand],$B30,TBHPS[QET],O$11)&gt;0,$D30),TRUE,FALSE),FALSE))))</f>
        <v>0</v>
      </c>
      <c r="P30" s="710"/>
      <c r="Q30" s="685" t="str">
        <f>IFERROR(IF(E30,IF(C30="Plus Factor","Plus Factor",C30 &amp; ". " &amp; INDEX(Domains[Domain],MATCH(C30,Domains[Domain_code],0),1)),""),"")</f>
        <v/>
      </c>
      <c r="R30" s="663" t="str">
        <f>IFERROR(IF($F30,$I30 &amp; ". " &amp; IF(AND(career_stage="P",teacher_type="R"), INDEX(RPI[PPST Indicators],MATCH($B30,RPI[Strand],0),1), IF(AND(career_stage="HP",teacher_type="R"),INDEX(RHPI[PPST Indicators],MATCH($B30,RHPI[Strand],0),1), IF(AND(career_stage="P",teacher_type="TB"),INDEX(TBPI[PPST Indicators],MATCH($B30,TBPI[Strand],0),1), IF(AND(career_stage="HP",teacher_type="TB"),INDEX(TBHPI[PPST Indicators],MATCH($B30,TBHPI[Strand],0),1),"")))) &amp; IF(NOT(TRIM(LOWER($C30))="plus factor")," (PPST "&amp;B30&amp;")",""),""),"")</f>
        <v/>
      </c>
      <c r="S30" s="664" t="str" cm="1">
        <f t="array" ref="S30">demographics[rating_period]</f>
        <v>SY 2023-2024</v>
      </c>
      <c r="T30" s="684">
        <f>IFERROR(IF(AND(career_stage="P",teacher_type="R"),VLOOKUP(B30,RPI[],COLUMNS(RPI[[Strand]:[Weight]]),FALSE), IF(AND(career_stage="HP",teacher_type="R"),VLOOKUP(B30,RHPI[],COLUMNS(RHPI[[Strand]:[Weight]]),FALSE), IF(AND(career_stage="P",teacher_type="TB"),VLOOKUP(B30,TBPI[],COLUMNS(TBPI[[Strand]:[Weight]]),FALSE), IF(AND(career_stage="HP",teacher_type="TB"),VLOOKUP(B30,TBHPI[],COLUMNS(TBHPI[[Strand]:[Weight]]),FALSE),0)))),0)</f>
        <v>0</v>
      </c>
      <c r="U30" s="94" t="s">
        <v>1185</v>
      </c>
      <c r="V30" s="391" t="str">
        <f ca="1">IFERROR(IF($M30,IF(AND(career_stage="P",teacher_type="R"),INDEX(INDIRECT("RPS["&amp;V$10&amp;"]"),MATCH($H30,RPS[helper],0),1), IF(AND(career_stage="HP",teacher_type="R"), INDEX(INDIRECT("RHPS["&amp;V$10&amp;"]"),MATCH($H30,RHPS[helper],0),1), IF(AND(career_stage="P",teacher_type="TB"),INDEX(INDIRECT("TBPS["&amp;V$10&amp;"]"),MATCH($H30,TBPS[helper],0),1), IF(AND(career_stage="HP",teacher_type="TB"),INDEX(INDIRECT("TBHPS["&amp;V$10&amp;"]"),MATCH($H30,TBHPS[helper],0),1),"")))),""),"")</f>
        <v/>
      </c>
      <c r="W30" s="391" t="str">
        <f ca="1">IFERROR(IF($M30,IF(AND(career_stage="P",teacher_type="R"),INDEX(INDIRECT("RPS["&amp;W$10&amp;"]"),MATCH($H30,RPS[helper],0),1), IF(AND(career_stage="HP",teacher_type="R"), INDEX(INDIRECT("RHPS["&amp;W$10&amp;"]"),MATCH($H30,RHPS[helper],0),1), IF(AND(career_stage="P",teacher_type="TB"),INDEX(INDIRECT("TBPS["&amp;W$10&amp;"]"),MATCH($H30,TBPS[helper],0),1), IF(AND(career_stage="HP",teacher_type="TB"),INDEX(INDIRECT("TBHPS["&amp;W$10&amp;"]"),MATCH($H30,TBHPS[helper],0),1),"")))),""),"")</f>
        <v/>
      </c>
      <c r="X30" s="391" t="str">
        <f ca="1">IFERROR(IF($M30,IF(AND(career_stage="P",teacher_type="R"),INDEX(INDIRECT("RPS["&amp;X$10&amp;"]"),MATCH($H30,RPS[helper],0),1), IF(AND(career_stage="HP",teacher_type="R"), INDEX(INDIRECT("RHPS["&amp;X$10&amp;"]"),MATCH($H30,RHPS[helper],0),1), IF(AND(career_stage="P",teacher_type="TB"),INDEX(INDIRECT("TBPS["&amp;X$10&amp;"]"),MATCH($H30,TBPS[helper],0),1), IF(AND(career_stage="HP",teacher_type="TB"),INDEX(INDIRECT("TBHPS["&amp;X$10&amp;"]"),MATCH($H30,TBHPS[helper],0),1),"")))),""),"")</f>
        <v/>
      </c>
      <c r="Y30" s="391" t="str">
        <f ca="1">IFERROR(IF($M30,IF(AND(career_stage="P",teacher_type="R"),INDEX(INDIRECT("RPS["&amp;Y$10&amp;"]"),MATCH($H30,RPS[helper],0),1), IF(AND(career_stage="HP",teacher_type="R"), INDEX(INDIRECT("RHPS["&amp;Y$10&amp;"]"),MATCH($H30,RHPS[helper],0),1), IF(AND(career_stage="P",teacher_type="TB"),INDEX(INDIRECT("TBPS["&amp;Y$10&amp;"]"),MATCH($H30,TBPS[helper],0),1), IF(AND(career_stage="HP",teacher_type="TB"),INDEX(INDIRECT("TBHPS["&amp;Y$10&amp;"]"),MATCH($H30,TBHPS[helper],0),1),"")))),""),"")</f>
        <v/>
      </c>
      <c r="Z30" s="391" t="str">
        <f ca="1">IFERROR(IF($M30,IF(AND(career_stage="P",teacher_type="R"),INDEX(INDIRECT("RPS["&amp;Z$10&amp;"]"),MATCH($H30,RPS[helper],0),1), IF(AND(career_stage="HP",teacher_type="R"), INDEX(INDIRECT("RHPS["&amp;Z$10&amp;"]"),MATCH($H30,RHPS[helper],0),1), IF(AND(career_stage="P",teacher_type="TB"),INDEX(INDIRECT("TBPS["&amp;Z$10&amp;"]"),MATCH($H30,TBPS[helper],0),1), IF(AND(career_stage="HP",teacher_type="TB"),INDEX(INDIRECT("TBHPS["&amp;Z$10&amp;"]"),MATCH($H30,TBHPS[helper],0),1),"")))),""),"")</f>
        <v/>
      </c>
      <c r="AA30" s="392" t="str" cm="1">
        <f t="array" ref="AA30">IFERROR(INDEX(V30:Z30,6-AB30),"")</f>
        <v/>
      </c>
      <c r="AB30" s="680" t="str">
        <f>IF('Encoding Part 1'!AB28="","",'Encoding Part 1'!AB28)</f>
        <v/>
      </c>
      <c r="AC30" s="680" t="str">
        <f>IF('Encoding Part 1'!AC28="","",'Encoding Part 1'!AC28)</f>
        <v/>
      </c>
      <c r="AD30" s="680" t="str">
        <f>IF('Encoding Part 1'!AD28="","",'Encoding Part 1'!AD28)</f>
        <v/>
      </c>
      <c r="AE30" s="682">
        <f t="shared" ref="AE30" si="11">IFERROR(ROUNDDOWN(AVERAGE($AB30:$AD30),3),0)</f>
        <v>0</v>
      </c>
      <c r="AF30" s="661">
        <f t="shared" ref="AF30" si="12">ROUNDDOWN($AE30*$T30,3)</f>
        <v>0</v>
      </c>
      <c r="AG30" s="5"/>
    </row>
    <row r="31" spans="1:33" hidden="1" x14ac:dyDescent="0.25">
      <c r="A31" s="92">
        <v>7</v>
      </c>
      <c r="B31" s="99" t="str" cm="1">
        <f t="array" ref="B31">IFERROR(IF(AND(teacher_type="R",career_stage="P"),INDEX(RPI[Strand],$A31),IF(AND(teacher_type="R",career_stage="HP"),INDEX(RHPI[Strand],$A31), IF(AND(teacher_type="TB",career_stage="P"),INDEX(TBPI[Strand],$A31), IF(AND(teacher_type="TB",career_stage="HP"),INDEX(TBHPI[Strand],$A31),0)))),0)</f>
        <v>1.7.2</v>
      </c>
      <c r="C31" s="99">
        <f>IFERROR(IF(AND(teacher_type="R",career_stage="P"),VLOOKUP($B31,RPI[[Strand]:[Domain]],COLUMNS(RPI[[Strand]:[Domain]]),FALSE), IF(AND(teacher_type="R",career_stage="HP"),VLOOKUP($B31,RHPI[[Strand]:[Domain]],COLUMNS(RHPI[[Strand]:[Domain]]),FALSE), IF(AND(teacher_type="TB",career_stage="P"),VLOOKUP($B31,TBPI[[Strand]:[Domain]],COLUMNS(TBPI[[Strand]:[Domain]]),FALSE), IF(AND(teacher_type="TB",career_stage="HP"),VLOOKUP($B31,TBHPI[[Strand]:[Domain]],COLUMNS(TBHPI[[Strand]:[Domain]]),FALSE),"")))),"")</f>
        <v>1</v>
      </c>
      <c r="D31" s="99" t="b">
        <f>IFERROR(IF(AND(career_stage="P",teacher_type="R"),VLOOKUP(B31,RPI[],COLUMNS(RPI[[Strand]:[Selected]]),FALSE), IF(AND(career_stage="HP",teacher_type="R"),VLOOKUP(B31,RHPI[],COLUMNS(RHPI[[Strand]:[Selected]]),FALSE), IF(AND(career_stage="P",teacher_type="TB"),VLOOKUP(B31,TBPI[],COLUMNS(TBPI[[Strand]:[Selected]]),FALSE), IF(AND(career_stage="HP",teacher_type="TB"),VLOOKUP(B31,TBHPI[],COLUMNS(TBHPI[[Strand]:[Selected]]),FALSE),FALSE)))),FALSE)</f>
        <v>0</v>
      </c>
      <c r="E31" s="92" t="b">
        <f>COUNTIFS($C$12:$C31,C31,$D$12:$D31,TRUE)=1</f>
        <v>0</v>
      </c>
      <c r="F31" s="92" t="b">
        <f>COUNTIFS($C$12:$C31,$C31,$B$12:$B31,$B31,$D$12:$D31,TRUE)=1</f>
        <v>0</v>
      </c>
      <c r="G31" s="99">
        <f>IF($F31,COUNTIFS($C$12:$C31,C31,$F$12:$F31,TRUE),0)</f>
        <v>0</v>
      </c>
      <c r="H31" s="99" t="str">
        <f t="shared" si="0"/>
        <v>1.7.2-E</v>
      </c>
      <c r="I31" s="99">
        <f>IF(AND(D31,NOT($A31=$A30)),(COUNTIF($D$11:$D30,TRUE)/3)+1,0)</f>
        <v>0</v>
      </c>
      <c r="J31" s="99" t="s">
        <v>1073</v>
      </c>
      <c r="K31" s="99" t="b">
        <f>IF(AND(teacher_type="R",career_stage="P"),IF(AND(COUNTIFS(RPS[Strand],$B31,RPS[QET],$J31)&gt;0,$D31),TRUE,FALSE), IF(AND(teacher_type="R",career_stage="HP"),IF(AND(COUNTIFS(RHPS[Strand],$B31,RHPS[QET],$J31)&gt;0,$D31),TRUE,FALSE), IF(AND(teacher_type="TB",career_stage="P"),IF(AND(COUNTIFS(TBPS[Strand],$B31,TBPS[QET],$J31)&gt;0,$D31),TRUE,FALSE), IF(AND(teacher_type="TB",career_stage="HP"),IF(AND(COUNTIFS(TBHPS[Strand],$B31,TBHPS[QET],$J31)&gt;0,$D31),TRUE,FALSE),FALSE))))</f>
        <v>0</v>
      </c>
      <c r="L31" s="99" t="str">
        <f>IF($K31,IF(AND(teacher_type="R",career_stage="P"),VLOOKUP($B31,RPI[],COLUMNS(RPI[[Strand]:[user_selected_coi_ncoi]]),FALSE), IF(AND(teacher_type="R",career_stage="HP"),VLOOKUP($B31,RHPI[],COLUMNS(RHPI[[Strand]:[user_selected_coi_ncoi]]),FALSE), IF(AND(teacher_type="TB",career_stage="P"),VLOOKUP($B31,TBPI[],COLUMNS(TBPI[[Strand]:[user_selected_coi_ncoi]]),FALSE), IF(AND(teacher_type="TB",career_stage="HP"),VLOOKUP($B31,TBHPI[],COLUMNS(TBHPI[[Strand]:[user_selected_coi_ncoi]]),FALSE),"")))),"")</f>
        <v/>
      </c>
      <c r="M31" s="99" t="b">
        <f>IF(AND(teacher_type="R",career_stage="P"),IF(AND(COUNTIFS(RPS[Strand],$B31,RPS[QET],M$11)&gt;0,$D31),TRUE,FALSE),IF(AND(teacher_type="R",career_stage="HP"),IF(AND(COUNTIFS(RHPS[Strand],$B31,RHPS[QET],M$11)&gt;0,$D31),TRUE,FALSE), IF(AND(teacher_type="TB",career_stage="P"),IF(AND(COUNTIFS(TBPS[Strand],$B31,TBPS[QET],M$11)&gt;0,$D31),TRUE,FALSE), IF(AND(teacher_type="TB",career_stage="HP"),IF(AND(COUNTIFS(TBHPS[Strand],$B31,TBHPS[QET],M$11)&gt;0,$D31),TRUE,FALSE),FALSE))))</f>
        <v>0</v>
      </c>
      <c r="N31" s="99" t="b">
        <f>IF(AND(teacher_type="R",career_stage="P"),IF(AND(COUNTIFS(RPS[Strand],$B31,RPS[QET],N$11)&gt;0,$D31),TRUE,FALSE),IF(AND(teacher_type="R",career_stage="HP"),IF(AND(COUNTIFS(RHPS[Strand],$B31,RHPS[QET],N$11)&gt;0,$D31),TRUE,FALSE), IF(AND(teacher_type="TB",career_stage="P"),IF(AND(COUNTIFS(TBPS[Strand],$B31,TBPS[QET],N$11)&gt;0,$D31),TRUE,FALSE), IF(AND(teacher_type="TB",career_stage="HP"),IF(AND(COUNTIFS(TBHPS[Strand],$B31,TBHPS[QET],N$11)&gt;0,$D31),TRUE,FALSE),FALSE))))</f>
        <v>0</v>
      </c>
      <c r="O31" s="99" t="b">
        <f>IF(AND(teacher_type="R",career_stage="P"),IF(AND(COUNTIFS(RPS[Strand],$B31,RPS[QET],O$11)&gt;0,$D31),TRUE,FALSE),IF(AND(teacher_type="R",career_stage="HP"),IF(AND(COUNTIFS(RHPS[Strand],$B31,RHPS[QET],O$11)&gt;0,$D31),TRUE,FALSE), IF(AND(teacher_type="TB",career_stage="P"),IF(AND(COUNTIFS(TBPS[Strand],$B31,TBPS[QET],O$11)&gt;0,$D31),TRUE,FALSE), IF(AND(teacher_type="TB",career_stage="HP"),IF(AND(COUNTIFS(TBHPS[Strand],$B31,TBHPS[QET],O$11)&gt;0,$D31),TRUE,FALSE),FALSE))))</f>
        <v>0</v>
      </c>
      <c r="P31" s="710"/>
      <c r="Q31" s="686"/>
      <c r="R31" s="663"/>
      <c r="S31" s="664"/>
      <c r="T31" s="684"/>
      <c r="U31" s="94" t="s">
        <v>1186</v>
      </c>
      <c r="V31" s="391" t="str">
        <f ca="1">IFERROR(IF($N31,IF(AND(career_stage="P",teacher_type="R"),INDEX(INDIRECT("RPS["&amp;V$10&amp;"]"),MATCH($H31,RPS[helper],0),1), IF(AND(career_stage="HP",teacher_type="R"), INDEX(INDIRECT("RHPS["&amp;V$10&amp;"]"),MATCH($H31,RHPS[helper],0),1), IF(AND(career_stage="P",teacher_type="TB"),INDEX(INDIRECT("TBPS["&amp;V$10&amp;"]"),MATCH($H31,TBPS[helper],0),1), IF(AND(career_stage="HP",teacher_type="TB"),INDEX(INDIRECT("TBHPS["&amp;V$10&amp;"]"),MATCH($H31,TBHPS[helper],0),1),"")))),""),"")</f>
        <v/>
      </c>
      <c r="W31" s="391" t="str">
        <f ca="1">IFERROR(IF($N31,IF(AND(career_stage="P",teacher_type="R"),INDEX(INDIRECT("RPS["&amp;W$10&amp;"]"),MATCH($H31,RPS[helper],0),1), IF(AND(career_stage="HP",teacher_type="R"), INDEX(INDIRECT("RHPS["&amp;W$10&amp;"]"),MATCH($H31,RHPS[helper],0),1), IF(AND(career_stage="P",teacher_type="TB"),INDEX(INDIRECT("TBPS["&amp;W$10&amp;"]"),MATCH($H31,TBPS[helper],0),1), IF(AND(career_stage="HP",teacher_type="TB"),INDEX(INDIRECT("TBHPS["&amp;W$10&amp;"]"),MATCH($H31,TBHPS[helper],0),1),"")))),""),"")</f>
        <v/>
      </c>
      <c r="X31" s="391" t="str">
        <f ca="1">IFERROR(IF($N31,IF(AND(career_stage="P",teacher_type="R"),INDEX(INDIRECT("RPS["&amp;X$10&amp;"]"),MATCH($H31,RPS[helper],0),1), IF(AND(career_stage="HP",teacher_type="R"), INDEX(INDIRECT("RHPS["&amp;X$10&amp;"]"),MATCH($H31,RHPS[helper],0),1), IF(AND(career_stage="P",teacher_type="TB"),INDEX(INDIRECT("TBPS["&amp;X$10&amp;"]"),MATCH($H31,TBPS[helper],0),1), IF(AND(career_stage="HP",teacher_type="TB"),INDEX(INDIRECT("TBHPS["&amp;X$10&amp;"]"),MATCH($H31,TBHPS[helper],0),1),"")))),""),"")</f>
        <v/>
      </c>
      <c r="Y31" s="391" t="str">
        <f ca="1">IFERROR(IF($N31,IF(AND(career_stage="P",teacher_type="R"),INDEX(INDIRECT("RPS["&amp;Y$10&amp;"]"),MATCH($H31,RPS[helper],0),1), IF(AND(career_stage="HP",teacher_type="R"), INDEX(INDIRECT("RHPS["&amp;Y$10&amp;"]"),MATCH($H31,RHPS[helper],0),1), IF(AND(career_stage="P",teacher_type="TB"),INDEX(INDIRECT("TBPS["&amp;Y$10&amp;"]"),MATCH($H31,TBPS[helper],0),1), IF(AND(career_stage="HP",teacher_type="TB"),INDEX(INDIRECT("TBHPS["&amp;Y$10&amp;"]"),MATCH($H31,TBHPS[helper],0),1),"")))),""),"")</f>
        <v/>
      </c>
      <c r="Z31" s="391" t="str">
        <f ca="1">IFERROR(IF($N31,IF(AND(career_stage="P",teacher_type="R"),INDEX(INDIRECT("RPS["&amp;Z$10&amp;"]"),MATCH($H31,RPS[helper],0),1), IF(AND(career_stage="HP",teacher_type="R"), INDEX(INDIRECT("RHPS["&amp;Z$10&amp;"]"),MATCH($H31,RHPS[helper],0),1), IF(AND(career_stage="P",teacher_type="TB"),INDEX(INDIRECT("TBPS["&amp;Z$10&amp;"]"),MATCH($H31,TBPS[helper],0),1), IF(AND(career_stage="HP",teacher_type="TB"),INDEX(INDIRECT("TBHPS["&amp;Z$10&amp;"]"),MATCH($H31,TBHPS[helper],0),1),"")))),""),"")</f>
        <v/>
      </c>
      <c r="AA31" s="392" t="str" cm="1">
        <f t="array" ref="AA31">IFERROR(INDEX(V31:Z31,6-AC30),"")</f>
        <v/>
      </c>
      <c r="AB31" s="680"/>
      <c r="AC31" s="680"/>
      <c r="AD31" s="680"/>
      <c r="AE31" s="682"/>
      <c r="AF31" s="661"/>
      <c r="AG31" s="5"/>
    </row>
    <row r="32" spans="1:33" hidden="1" x14ac:dyDescent="0.25">
      <c r="A32" s="92">
        <v>7</v>
      </c>
      <c r="B32" s="99" t="str" cm="1">
        <f t="array" ref="B32">IFERROR(IF(AND(teacher_type="R",career_stage="P"),INDEX(RPI[Strand],$A32),IF(AND(teacher_type="R",career_stage="HP"),INDEX(RHPI[Strand],$A32), IF(AND(teacher_type="TB",career_stage="P"),INDEX(TBPI[Strand],$A32), IF(AND(teacher_type="TB",career_stage="HP"),INDEX(TBHPI[Strand],$A32),0)))),0)</f>
        <v>1.7.2</v>
      </c>
      <c r="C32" s="99">
        <f>IFERROR(IF(AND(teacher_type="R",career_stage="P"),VLOOKUP($B32,RPI[[Strand]:[Domain]],COLUMNS(RPI[[Strand]:[Domain]]),FALSE), IF(AND(teacher_type="R",career_stage="HP"),VLOOKUP($B32,RHPI[[Strand]:[Domain]],COLUMNS(RHPI[[Strand]:[Domain]]),FALSE), IF(AND(teacher_type="TB",career_stage="P"),VLOOKUP($B32,TBPI[[Strand]:[Domain]],COLUMNS(TBPI[[Strand]:[Domain]]),FALSE), IF(AND(teacher_type="TB",career_stage="HP"),VLOOKUP($B32,TBHPI[[Strand]:[Domain]],COLUMNS(TBHPI[[Strand]:[Domain]]),FALSE),"")))),"")</f>
        <v>1</v>
      </c>
      <c r="D32" s="99" t="b">
        <f>IFERROR(IF(AND(career_stage="P",teacher_type="R"),VLOOKUP(B32,RPI[],COLUMNS(RPI[[Strand]:[Selected]]),FALSE), IF(AND(career_stage="HP",teacher_type="R"),VLOOKUP(B32,RHPI[],COLUMNS(RHPI[[Strand]:[Selected]]),FALSE), IF(AND(career_stage="P",teacher_type="TB"),VLOOKUP(B32,TBPI[],COLUMNS(TBPI[[Strand]:[Selected]]),FALSE), IF(AND(career_stage="HP",teacher_type="TB"),VLOOKUP(B32,TBHPI[],COLUMNS(TBHPI[[Strand]:[Selected]]),FALSE),FALSE)))),FALSE)</f>
        <v>0</v>
      </c>
      <c r="E32" s="92" t="b">
        <f>COUNTIFS($C$12:$C32,C32,$D$12:$D32,TRUE)=1</f>
        <v>0</v>
      </c>
      <c r="F32" s="92" t="b">
        <f>COUNTIFS($C$12:$C32,$C32,$B$12:$B32,$B32,$D$12:$D32,TRUE)=1</f>
        <v>0</v>
      </c>
      <c r="G32" s="99">
        <f>IF($F32,COUNTIFS($C$12:$C32,C32,$F$12:$F32,TRUE),0)</f>
        <v>0</v>
      </c>
      <c r="H32" s="99" t="str">
        <f t="shared" si="0"/>
        <v>1.7.2-T</v>
      </c>
      <c r="I32" s="99">
        <f>IF(AND(D32,NOT($A32=$A31)),(COUNTIF($D$11:$D31,TRUE)/3)+1,0)</f>
        <v>0</v>
      </c>
      <c r="J32" s="99" t="s">
        <v>1014</v>
      </c>
      <c r="K32" s="99" t="b">
        <f>IF(AND(teacher_type="R",career_stage="P"),IF(AND(COUNTIFS(RPS[Strand],$B32,RPS[QET],$J32)&gt;0,$D32),TRUE,FALSE), IF(AND(teacher_type="R",career_stage="HP"),IF(AND(COUNTIFS(RHPS[Strand],$B32,RHPS[QET],$J32)&gt;0,$D32),TRUE,FALSE), IF(AND(teacher_type="TB",career_stage="P"),IF(AND(COUNTIFS(TBPS[Strand],$B32,TBPS[QET],$J32)&gt;0,$D32),TRUE,FALSE), IF(AND(teacher_type="TB",career_stage="HP"),IF(AND(COUNTIFS(TBHPS[Strand],$B32,TBHPS[QET],$J32)&gt;0,$D32),TRUE,FALSE),FALSE))))</f>
        <v>0</v>
      </c>
      <c r="L32" s="99" t="str">
        <f>IF($K32,IF(AND(teacher_type="R",career_stage="P"),VLOOKUP($B32,RPI[],COLUMNS(RPI[[Strand]:[user_selected_coi_ncoi]]),FALSE), IF(AND(teacher_type="R",career_stage="HP"),VLOOKUP($B32,RHPI[],COLUMNS(RHPI[[Strand]:[user_selected_coi_ncoi]]),FALSE), IF(AND(teacher_type="TB",career_stage="P"),VLOOKUP($B32,TBPI[],COLUMNS(TBPI[[Strand]:[user_selected_coi_ncoi]]),FALSE), IF(AND(teacher_type="TB",career_stage="HP"),VLOOKUP($B32,TBHPI[],COLUMNS(TBHPI[[Strand]:[user_selected_coi_ncoi]]),FALSE),"")))),"")</f>
        <v/>
      </c>
      <c r="M32" s="99" t="b">
        <f>IF(AND(teacher_type="R",career_stage="P"),IF(AND(COUNTIFS(RPS[Strand],$B32,RPS[QET],M$11)&gt;0,$D32),TRUE,FALSE),IF(AND(teacher_type="R",career_stage="HP"),IF(AND(COUNTIFS(RHPS[Strand],$B32,RHPS[QET],M$11)&gt;0,$D32),TRUE,FALSE), IF(AND(teacher_type="TB",career_stage="P"),IF(AND(COUNTIFS(TBPS[Strand],$B32,TBPS[QET],M$11)&gt;0,$D32),TRUE,FALSE), IF(AND(teacher_type="TB",career_stage="HP"),IF(AND(COUNTIFS(TBHPS[Strand],$B32,TBHPS[QET],M$11)&gt;0,$D32),TRUE,FALSE),FALSE))))</f>
        <v>0</v>
      </c>
      <c r="N32" s="99" t="b">
        <f>IF(AND(teacher_type="R",career_stage="P"),IF(AND(COUNTIFS(RPS[Strand],$B32,RPS[QET],N$11)&gt;0,$D32),TRUE,FALSE),IF(AND(teacher_type="R",career_stage="HP"),IF(AND(COUNTIFS(RHPS[Strand],$B32,RHPS[QET],N$11)&gt;0,$D32),TRUE,FALSE), IF(AND(teacher_type="TB",career_stage="P"),IF(AND(COUNTIFS(TBPS[Strand],$B32,TBPS[QET],N$11)&gt;0,$D32),TRUE,FALSE), IF(AND(teacher_type="TB",career_stage="HP"),IF(AND(COUNTIFS(TBHPS[Strand],$B32,TBHPS[QET],N$11)&gt;0,$D32),TRUE,FALSE),FALSE))))</f>
        <v>0</v>
      </c>
      <c r="O32" s="99" t="b">
        <f>IF(AND(teacher_type="R",career_stage="P"),IF(AND(COUNTIFS(RPS[Strand],$B32,RPS[QET],O$11)&gt;0,$D32),TRUE,FALSE),IF(AND(teacher_type="R",career_stage="HP"),IF(AND(COUNTIFS(RHPS[Strand],$B32,RHPS[QET],O$11)&gt;0,$D32),TRUE,FALSE), IF(AND(teacher_type="TB",career_stage="P"),IF(AND(COUNTIFS(TBPS[Strand],$B32,TBPS[QET],O$11)&gt;0,$D32),TRUE,FALSE), IF(AND(teacher_type="TB",career_stage="HP"),IF(AND(COUNTIFS(TBHPS[Strand],$B32,TBHPS[QET],O$11)&gt;0,$D32),TRUE,FALSE),FALSE))))</f>
        <v>0</v>
      </c>
      <c r="P32" s="710"/>
      <c r="Q32" s="687"/>
      <c r="R32" s="663"/>
      <c r="S32" s="664"/>
      <c r="T32" s="684"/>
      <c r="U32" s="94" t="s">
        <v>1187</v>
      </c>
      <c r="V32" s="391" t="str">
        <f ca="1">IFERROR(IF($O32,IF(AND(career_stage="P",teacher_type="R"),INDEX(INDIRECT("RPS["&amp;V$10&amp;"]"),MATCH($H32,RPS[helper],0),1), IF(AND(career_stage="HP",teacher_type="R"), INDEX(INDIRECT("RHPS["&amp;V$10&amp;"]"),MATCH($H32,RHPS[helper],0),1), IF(AND(career_stage="P",teacher_type="TB"),INDEX(INDIRECT("TBPS["&amp;V$10&amp;"]"),MATCH($H32,TBPS[helper],0),1), IF(AND(career_stage="HP",teacher_type="TB"),INDEX(INDIRECT("TBHPS["&amp;V$10&amp;"]"),MATCH($H32,TBHPS[helper],0),1),"")))),""),"")</f>
        <v/>
      </c>
      <c r="W32" s="391" t="str">
        <f ca="1">IFERROR(IF($O32,IF(AND(career_stage="P",teacher_type="R"),INDEX(INDIRECT("RPS["&amp;W$10&amp;"]"),MATCH($H32,RPS[helper],0),1), IF(AND(career_stage="HP",teacher_type="R"), INDEX(INDIRECT("RHPS["&amp;W$10&amp;"]"),MATCH($H32,RHPS[helper],0),1), IF(AND(career_stage="P",teacher_type="TB"),INDEX(INDIRECT("TBPS["&amp;W$10&amp;"]"),MATCH($H32,TBPS[helper],0),1), IF(AND(career_stage="HP",teacher_type="TB"),INDEX(INDIRECT("TBHPS["&amp;W$10&amp;"]"),MATCH($H32,TBHPS[helper],0),1),"")))),""),"")</f>
        <v/>
      </c>
      <c r="X32" s="391" t="str">
        <f ca="1">IFERROR(IF($O32,IF(AND(career_stage="P",teacher_type="R"),INDEX(INDIRECT("RPS["&amp;X$10&amp;"]"),MATCH($H32,RPS[helper],0),1), IF(AND(career_stage="HP",teacher_type="R"), INDEX(INDIRECT("RHPS["&amp;X$10&amp;"]"),MATCH($H32,RHPS[helper],0),1), IF(AND(career_stage="P",teacher_type="TB"),INDEX(INDIRECT("TBPS["&amp;X$10&amp;"]"),MATCH($H32,TBPS[helper],0),1), IF(AND(career_stage="HP",teacher_type="TB"),INDEX(INDIRECT("TBHPS["&amp;X$10&amp;"]"),MATCH($H32,TBHPS[helper],0),1),"")))),""),"")</f>
        <v/>
      </c>
      <c r="Y32" s="391" t="str">
        <f ca="1">IFERROR(IF($O32,IF(AND(career_stage="P",teacher_type="R"),INDEX(INDIRECT("RPS["&amp;Y$10&amp;"]"),MATCH($H32,RPS[helper],0),1), IF(AND(career_stage="HP",teacher_type="R"), INDEX(INDIRECT("RHPS["&amp;Y$10&amp;"]"),MATCH($H32,RHPS[helper],0),1), IF(AND(career_stage="P",teacher_type="TB"),INDEX(INDIRECT("TBPS["&amp;Y$10&amp;"]"),MATCH($H32,TBPS[helper],0),1), IF(AND(career_stage="HP",teacher_type="TB"),INDEX(INDIRECT("TBHPS["&amp;Y$10&amp;"]"),MATCH($H32,TBHPS[helper],0),1),"")))),""),"")</f>
        <v/>
      </c>
      <c r="Z32" s="391" t="str">
        <f ca="1">IFERROR(IF($O32,IF(AND(career_stage="P",teacher_type="R"),INDEX(INDIRECT("RPS["&amp;Z$10&amp;"]"),MATCH($H32,RPS[helper],0),1), IF(AND(career_stage="HP",teacher_type="R"), INDEX(INDIRECT("RHPS["&amp;Z$10&amp;"]"),MATCH($H32,RHPS[helper],0),1), IF(AND(career_stage="P",teacher_type="TB"),INDEX(INDIRECT("TBPS["&amp;Z$10&amp;"]"),MATCH($H32,TBPS[helper],0),1), IF(AND(career_stage="HP",teacher_type="TB"),INDEX(INDIRECT("TBHPS["&amp;Z$10&amp;"]"),MATCH($H32,TBHPS[helper],0),1),"")))),""),"")</f>
        <v/>
      </c>
      <c r="AA32" s="391" t="str" cm="1">
        <f t="array" ref="AA32">IFERROR(INDEX(V32:Z32,6-AD30),"")</f>
        <v/>
      </c>
      <c r="AB32" s="680"/>
      <c r="AC32" s="680"/>
      <c r="AD32" s="680"/>
      <c r="AE32" s="682"/>
      <c r="AF32" s="661"/>
      <c r="AG32" s="5"/>
    </row>
    <row r="33" spans="1:33" ht="76.5" x14ac:dyDescent="0.25">
      <c r="A33" s="92">
        <v>8</v>
      </c>
      <c r="B33" s="99" t="str" cm="1">
        <f t="array" ref="B33">IFERROR(IF(AND(teacher_type="R",career_stage="P"),INDEX(RPI[Strand],$A33),IF(AND(teacher_type="R",career_stage="HP"),INDEX(RHPI[Strand],$A33), IF(AND(teacher_type="TB",career_stage="P"),INDEX(TBPI[Strand],$A33), IF(AND(teacher_type="TB",career_stage="HP"),INDEX(TBHPI[Strand],$A33),0)))),0)</f>
        <v>2.1.2</v>
      </c>
      <c r="C33" s="99">
        <f>IFERROR(IF(AND(teacher_type="R",career_stage="P"),VLOOKUP($B33,RPI[[Strand]:[Domain]],COLUMNS(RPI[[Strand]:[Domain]]),FALSE), IF(AND(teacher_type="R",career_stage="HP"),VLOOKUP($B33,RHPI[[Strand]:[Domain]],COLUMNS(RHPI[[Strand]:[Domain]]),FALSE), IF(AND(teacher_type="TB",career_stage="P"),VLOOKUP($B33,TBPI[[Strand]:[Domain]],COLUMNS(TBPI[[Strand]:[Domain]]),FALSE), IF(AND(teacher_type="TB",career_stage="HP"),VLOOKUP($B33,TBHPI[[Strand]:[Domain]],COLUMNS(TBHPI[[Strand]:[Domain]]),FALSE),"")))),"")</f>
        <v>2</v>
      </c>
      <c r="D33" s="99" t="b">
        <f>IFERROR(IF(AND(career_stage="P",teacher_type="R"),VLOOKUP(B33,RPI[],COLUMNS(RPI[[Strand]:[Selected]]),FALSE), IF(AND(career_stage="HP",teacher_type="R"),VLOOKUP(B33,RHPI[],COLUMNS(RHPI[[Strand]:[Selected]]),FALSE), IF(AND(career_stage="P",teacher_type="TB"),VLOOKUP(B33,TBPI[],COLUMNS(TBPI[[Strand]:[Selected]]),FALSE), IF(AND(career_stage="HP",teacher_type="TB"),VLOOKUP(B33,TBHPI[],COLUMNS(TBHPI[[Strand]:[Selected]]),FALSE),FALSE)))),FALSE)</f>
        <v>1</v>
      </c>
      <c r="E33" s="92" t="b">
        <f>COUNTIFS($C$12:$C33,C33,$D$12:$D33,TRUE)=1</f>
        <v>1</v>
      </c>
      <c r="F33" s="92" t="b">
        <f>COUNTIFS($C$12:$C33,$C33,$B$12:$B33,$B33,$D$12:$D33,TRUE)=1</f>
        <v>1</v>
      </c>
      <c r="G33" s="99">
        <f>IF($F33,COUNTIFS($C$12:$C33,C33,$F$12:$F33,TRUE),0)</f>
        <v>1</v>
      </c>
      <c r="H33" s="99" t="str">
        <f t="shared" si="0"/>
        <v>2.1.2-Q-COI</v>
      </c>
      <c r="I33" s="99">
        <f>IF(AND(D33,NOT($A33=$A32)),(COUNTIF($D$11:$D32,TRUE)/3)+1,0)</f>
        <v>5</v>
      </c>
      <c r="J33" s="99" t="s">
        <v>1012</v>
      </c>
      <c r="K33" s="99" t="b">
        <f>IF(AND(teacher_type="R",career_stage="P"),IF(AND(COUNTIFS(RPS[Strand],$B33,RPS[QET],$J33)&gt;0,$D33),TRUE,FALSE), IF(AND(teacher_type="R",career_stage="HP"),IF(AND(COUNTIFS(RHPS[Strand],$B33,RHPS[QET],$J33)&gt;0,$D33),TRUE,FALSE), IF(AND(teacher_type="TB",career_stage="P"),IF(AND(COUNTIFS(TBPS[Strand],$B33,TBPS[QET],$J33)&gt;0,$D33),TRUE,FALSE), IF(AND(teacher_type="TB",career_stage="HP"),IF(AND(COUNTIFS(TBHPS[Strand],$B33,TBHPS[QET],$J33)&gt;0,$D33),TRUE,FALSE),FALSE))))</f>
        <v>1</v>
      </c>
      <c r="L33" s="99" t="str">
        <f>IF($K33,IF(AND(teacher_type="R",career_stage="P"),VLOOKUP($B33,RPI[],COLUMNS(RPI[[Strand]:[user_selected_coi_ncoi]]),FALSE), IF(AND(teacher_type="R",career_stage="HP"),VLOOKUP($B33,RHPI[],COLUMNS(RHPI[[Strand]:[user_selected_coi_ncoi]]),FALSE), IF(AND(teacher_type="TB",career_stage="P"),VLOOKUP($B33,TBPI[],COLUMNS(TBPI[[Strand]:[user_selected_coi_ncoi]]),FALSE), IF(AND(teacher_type="TB",career_stage="HP"),VLOOKUP($B33,TBHPI[],COLUMNS(TBHPI[[Strand]:[user_selected_coi_ncoi]]),FALSE),"")))),"")</f>
        <v>COI</v>
      </c>
      <c r="M33" s="99" t="b">
        <f>IF(AND(teacher_type="R",career_stage="P"),IF(AND(COUNTIFS(RPS[Strand],$B33,RPS[QET],M$11)&gt;0,$D33),TRUE,FALSE),IF(AND(teacher_type="R",career_stage="HP"),IF(AND(COUNTIFS(RHPS[Strand],$B33,RHPS[QET],M$11)&gt;0,$D33),TRUE,FALSE), IF(AND(teacher_type="TB",career_stage="P"),IF(AND(COUNTIFS(TBPS[Strand],$B33,TBPS[QET],M$11)&gt;0,$D33),TRUE,FALSE), IF(AND(teacher_type="TB",career_stage="HP"),IF(AND(COUNTIFS(TBHPS[Strand],$B33,TBHPS[QET],M$11)&gt;0,$D33),TRUE,FALSE),FALSE))))</f>
        <v>1</v>
      </c>
      <c r="N33" s="99" t="b">
        <f>IF(AND(teacher_type="R",career_stage="P"),IF(AND(COUNTIFS(RPS[Strand],$B33,RPS[QET],N$11)&gt;0,$D33),TRUE,FALSE),IF(AND(teacher_type="R",career_stage="HP"),IF(AND(COUNTIFS(RHPS[Strand],$B33,RHPS[QET],N$11)&gt;0,$D33),TRUE,FALSE), IF(AND(teacher_type="TB",career_stage="P"),IF(AND(COUNTIFS(TBPS[Strand],$B33,TBPS[QET],N$11)&gt;0,$D33),TRUE,FALSE), IF(AND(teacher_type="TB",career_stage="HP"),IF(AND(COUNTIFS(TBHPS[Strand],$B33,TBHPS[QET],N$11)&gt;0,$D33),TRUE,FALSE),FALSE))))</f>
        <v>1</v>
      </c>
      <c r="O33" s="99" t="b">
        <f>IF(AND(teacher_type="R",career_stage="P"),IF(AND(COUNTIFS(RPS[Strand],$B33,RPS[QET],O$11)&gt;0,$D33),TRUE,FALSE),IF(AND(teacher_type="R",career_stage="HP"),IF(AND(COUNTIFS(RHPS[Strand],$B33,RHPS[QET],O$11)&gt;0,$D33),TRUE,FALSE), IF(AND(teacher_type="TB",career_stage="P"),IF(AND(COUNTIFS(TBPS[Strand],$B33,TBPS[QET],O$11)&gt;0,$D33),TRUE,FALSE), IF(AND(teacher_type="TB",career_stage="HP"),IF(AND(COUNTIFS(TBHPS[Strand],$B33,TBHPS[QET],O$11)&gt;0,$D33),TRUE,FALSE),FALSE))))</f>
        <v>0</v>
      </c>
      <c r="P33" s="710"/>
      <c r="Q33" s="685" t="str">
        <f>IFERROR(IF(E33,IF(C33="Plus Factor","Plus Factor",C33 &amp; ". " &amp; INDEX(Domains[Domain],MATCH(C33,Domains[Domain_code],0),1)),""),"")</f>
        <v>2. Learning Environment &amp; Diversity of Learners</v>
      </c>
      <c r="R33" s="663" t="str">
        <f>IFERROR(IF($F33,$I33 &amp; ". " &amp; IF(AND(career_stage="P",teacher_type="R"), INDEX(RPI[PPST Indicators],MATCH($B33,RPI[Strand],0),1), IF(AND(career_stage="HP",teacher_type="R"),INDEX(RHPI[PPST Indicators],MATCH($B33,RHPI[Strand],0),1), IF(AND(career_stage="P",teacher_type="TB"),INDEX(TBPI[PPST Indicators],MATCH($B33,TBPI[Strand],0),1), IF(AND(career_stage="HP",teacher_type="TB"),INDEX(TBHPI[PPST Indicators],MATCH($B33,TBHPI[Strand],0),1),"")))) &amp; IF(NOT(TRIM(LOWER($C33))="plus factor")," (PPST "&amp;B33&amp;")",""),""),"")</f>
        <v>5. Established safe and secure learning environments to enhance learning through the consistent implementation of policies, guidelines and procedures (PPST 2.1.2)</v>
      </c>
      <c r="S33" s="664" t="str" cm="1">
        <f t="array" ref="S33">demographics[rating_period]</f>
        <v>SY 2023-2024</v>
      </c>
      <c r="T33" s="684">
        <f>IFERROR(IF(AND(career_stage="P",teacher_type="R"),VLOOKUP(B33,RPI[],COLUMNS(RPI[[Strand]:[Weight]]),FALSE), IF(AND(career_stage="HP",teacher_type="R"),VLOOKUP(B33,RHPI[],COLUMNS(RHPI[[Strand]:[Weight]]),FALSE), IF(AND(career_stage="P",teacher_type="TB"),VLOOKUP(B33,TBPI[],COLUMNS(TBPI[[Strand]:[Weight]]),FALSE), IF(AND(career_stage="HP",teacher_type="TB"),VLOOKUP(B33,TBHPI[],COLUMNS(TBHPI[[Strand]:[Weight]]),FALSE),0)))),0)</f>
        <v>7.0000000000000007E-2</v>
      </c>
      <c r="U33" s="94" t="s">
        <v>1185</v>
      </c>
      <c r="V33" s="391" t="str">
        <f ca="1">IFERROR(IF($M33,IF(AND(career_stage="P",teacher_type="R"),INDEX(INDIRECT("RPS["&amp;V$10&amp;"]"),MATCH($H33,RPS[helper],0),1), IF(AND(career_stage="HP",teacher_type="R"), INDEX(INDIRECT("RHPS["&amp;V$10&amp;"]"),MATCH($H33,RHPS[helper],0),1), IF(AND(career_stage="P",teacher_type="TB"),INDEX(INDIRECT("TBPS["&amp;V$10&amp;"]"),MATCH($H33,TBPS[helper],0),1), IF(AND(career_stage="HP",teacher_type="TB"),INDEX(INDIRECT("TBHPS["&amp;V$10&amp;"]"),MATCH($H33,TBHPS[helper],0),1),"")))),""),"")</f>
        <v>Demonstrated Level 7 as shown in COT rating sheets/inter- observer agreement forms</v>
      </c>
      <c r="W33" s="391" t="str">
        <f ca="1">IFERROR(IF($M33,IF(AND(career_stage="P",teacher_type="R"),INDEX(INDIRECT("RPS["&amp;W$10&amp;"]"),MATCH($H33,RPS[helper],0),1), IF(AND(career_stage="HP",teacher_type="R"), INDEX(INDIRECT("RHPS["&amp;W$10&amp;"]"),MATCH($H33,RHPS[helper],0),1), IF(AND(career_stage="P",teacher_type="TB"),INDEX(INDIRECT("TBPS["&amp;W$10&amp;"]"),MATCH($H33,TBPS[helper],0),1), IF(AND(career_stage="HP",teacher_type="TB"),INDEX(INDIRECT("TBHPS["&amp;W$10&amp;"]"),MATCH($H33,TBHPS[helper],0),1),"")))),""),"")</f>
        <v>Demonstrated Level 6 as shown in COT rating sheets/inter- observer agreement forms</v>
      </c>
      <c r="X33" s="391" t="str">
        <f ca="1">IFERROR(IF($M33,IF(AND(career_stage="P",teacher_type="R"),INDEX(INDIRECT("RPS["&amp;X$10&amp;"]"),MATCH($H33,RPS[helper],0),1), IF(AND(career_stage="HP",teacher_type="R"), INDEX(INDIRECT("RHPS["&amp;X$10&amp;"]"),MATCH($H33,RHPS[helper],0),1), IF(AND(career_stage="P",teacher_type="TB"),INDEX(INDIRECT("TBPS["&amp;X$10&amp;"]"),MATCH($H33,TBPS[helper],0),1), IF(AND(career_stage="HP",teacher_type="TB"),INDEX(INDIRECT("TBHPS["&amp;X$10&amp;"]"),MATCH($H33,TBHPS[helper],0),1),"")))),""),"")</f>
        <v>Demonstrated Level 5 as shown in COT rating sheets/inter- observer agreement forms</v>
      </c>
      <c r="Y33" s="391" t="str">
        <f ca="1">IFERROR(IF($M33,IF(AND(career_stage="P",teacher_type="R"),INDEX(INDIRECT("RPS["&amp;Y$10&amp;"]"),MATCH($H33,RPS[helper],0),1), IF(AND(career_stage="HP",teacher_type="R"), INDEX(INDIRECT("RHPS["&amp;Y$10&amp;"]"),MATCH($H33,RHPS[helper],0),1), IF(AND(career_stage="P",teacher_type="TB"),INDEX(INDIRECT("TBPS["&amp;Y$10&amp;"]"),MATCH($H33,TBPS[helper],0),1), IF(AND(career_stage="HP",teacher_type="TB"),INDEX(INDIRECT("TBHPS["&amp;Y$10&amp;"]"),MATCH($H33,TBHPS[helper],0),1),"")))),""),"")</f>
        <v>Demonstrated Level 4 as shown in COT rating sheets/inter- observer agreement forms</v>
      </c>
      <c r="Z33" s="391" t="str">
        <f ca="1">IFERROR(IF($M33,IF(AND(career_stage="P",teacher_type="R"),INDEX(INDIRECT("RPS["&amp;Z$10&amp;"]"),MATCH($H33,RPS[helper],0),1), IF(AND(career_stage="HP",teacher_type="R"), INDEX(INDIRECT("RHPS["&amp;Z$10&amp;"]"),MATCH($H33,RHPS[helper],0),1), IF(AND(career_stage="P",teacher_type="TB"),INDEX(INDIRECT("TBPS["&amp;Z$10&amp;"]"),MATCH($H33,TBPS[helper],0),1), IF(AND(career_stage="HP",teacher_type="TB"),INDEX(INDIRECT("TBHPS["&amp;Z$10&amp;"]"),MATCH($H33,TBHPS[helper],0),1),"")))),""),"")</f>
        <v>Demonstrated Level 3 as shown in COT rating sheets/inter- observer agreement forms or No acceptable evidence was shown</v>
      </c>
      <c r="AA33" s="392" t="str" cm="1">
        <f t="array" aca="1" ref="AA33" ca="1">IFERROR(INDEX(V33:Z33,6-AB33),"")</f>
        <v>Demonstrated Level 7 as shown in COT rating sheets/inter- observer agreement forms</v>
      </c>
      <c r="AB33" s="680">
        <f>IF('Encoding Part 1'!AB29="","",'Encoding Part 1'!AB29)</f>
        <v>5</v>
      </c>
      <c r="AC33" s="680">
        <f>IF('Encoding Part 1'!AC29="","",'Encoding Part 1'!AC29)</f>
        <v>5</v>
      </c>
      <c r="AD33" s="680" t="str">
        <f>IF('Encoding Part 1'!AD29="","",'Encoding Part 1'!AD29)</f>
        <v/>
      </c>
      <c r="AE33" s="682">
        <f t="shared" ref="AE33" si="13">IFERROR(ROUNDDOWN(AVERAGE($AB33:$AD33),3),0)</f>
        <v>5</v>
      </c>
      <c r="AF33" s="661">
        <f t="shared" ref="AF33" si="14">ROUNDDOWN($AE33*$T33,3)</f>
        <v>0.35</v>
      </c>
      <c r="AG33" s="5"/>
    </row>
    <row r="34" spans="1:33" ht="38.25" x14ac:dyDescent="0.25">
      <c r="A34" s="92">
        <v>8</v>
      </c>
      <c r="B34" s="99" t="str" cm="1">
        <f t="array" ref="B34">IFERROR(IF(AND(teacher_type="R",career_stage="P"),INDEX(RPI[Strand],$A34),IF(AND(teacher_type="R",career_stage="HP"),INDEX(RHPI[Strand],$A34), IF(AND(teacher_type="TB",career_stage="P"),INDEX(TBPI[Strand],$A34), IF(AND(teacher_type="TB",career_stage="HP"),INDEX(TBHPI[Strand],$A34),0)))),0)</f>
        <v>2.1.2</v>
      </c>
      <c r="C34" s="99">
        <f>IFERROR(IF(AND(teacher_type="R",career_stage="P"),VLOOKUP($B34,RPI[[Strand]:[Domain]],COLUMNS(RPI[[Strand]:[Domain]]),FALSE), IF(AND(teacher_type="R",career_stage="HP"),VLOOKUP($B34,RHPI[[Strand]:[Domain]],COLUMNS(RHPI[[Strand]:[Domain]]),FALSE), IF(AND(teacher_type="TB",career_stage="P"),VLOOKUP($B34,TBPI[[Strand]:[Domain]],COLUMNS(TBPI[[Strand]:[Domain]]),FALSE), IF(AND(teacher_type="TB",career_stage="HP"),VLOOKUP($B34,TBHPI[[Strand]:[Domain]],COLUMNS(TBHPI[[Strand]:[Domain]]),FALSE),"")))),"")</f>
        <v>2</v>
      </c>
      <c r="D34" s="99" t="b">
        <f>IFERROR(IF(AND(career_stage="P",teacher_type="R"),VLOOKUP(B34,RPI[],COLUMNS(RPI[[Strand]:[Selected]]),FALSE), IF(AND(career_stage="HP",teacher_type="R"),VLOOKUP(B34,RHPI[],COLUMNS(RHPI[[Strand]:[Selected]]),FALSE), IF(AND(career_stage="P",teacher_type="TB"),VLOOKUP(B34,TBPI[],COLUMNS(TBPI[[Strand]:[Selected]]),FALSE), IF(AND(career_stage="HP",teacher_type="TB"),VLOOKUP(B34,TBHPI[],COLUMNS(TBHPI[[Strand]:[Selected]]),FALSE),FALSE)))),FALSE)</f>
        <v>1</v>
      </c>
      <c r="E34" s="92" t="b">
        <f>COUNTIFS($C$12:$C34,C34,$D$12:$D34,TRUE)=1</f>
        <v>0</v>
      </c>
      <c r="F34" s="92" t="b">
        <f>COUNTIFS($C$12:$C34,$C34,$B$12:$B34,$B34,$D$12:$D34,TRUE)=1</f>
        <v>0</v>
      </c>
      <c r="G34" s="99">
        <f>IF($F34,COUNTIFS($C$12:$C34,C34,$F$12:$F34,TRUE),0)</f>
        <v>0</v>
      </c>
      <c r="H34" s="99" t="str">
        <f t="shared" si="0"/>
        <v>2.1.2-E-COI</v>
      </c>
      <c r="I34" s="99">
        <f>IF(AND(D34,NOT($A34=$A33)),(COUNTIF($D$11:$D33,TRUE)/3)+1,0)</f>
        <v>0</v>
      </c>
      <c r="J34" s="99" t="s">
        <v>1073</v>
      </c>
      <c r="K34" s="99" t="b">
        <f>IF(AND(teacher_type="R",career_stage="P"),IF(AND(COUNTIFS(RPS[Strand],$B34,RPS[QET],$J34)&gt;0,$D34),TRUE,FALSE), IF(AND(teacher_type="R",career_stage="HP"),IF(AND(COUNTIFS(RHPS[Strand],$B34,RHPS[QET],$J34)&gt;0,$D34),TRUE,FALSE), IF(AND(teacher_type="TB",career_stage="P"),IF(AND(COUNTIFS(TBPS[Strand],$B34,TBPS[QET],$J34)&gt;0,$D34),TRUE,FALSE), IF(AND(teacher_type="TB",career_stage="HP"),IF(AND(COUNTIFS(TBHPS[Strand],$B34,TBHPS[QET],$J34)&gt;0,$D34),TRUE,FALSE),FALSE))))</f>
        <v>1</v>
      </c>
      <c r="L34" s="99" t="str">
        <f>IF($K34,IF(AND(teacher_type="R",career_stage="P"),VLOOKUP($B34,RPI[],COLUMNS(RPI[[Strand]:[user_selected_coi_ncoi]]),FALSE), IF(AND(teacher_type="R",career_stage="HP"),VLOOKUP($B34,RHPI[],COLUMNS(RHPI[[Strand]:[user_selected_coi_ncoi]]),FALSE), IF(AND(teacher_type="TB",career_stage="P"),VLOOKUP($B34,TBPI[],COLUMNS(TBPI[[Strand]:[user_selected_coi_ncoi]]),FALSE), IF(AND(teacher_type="TB",career_stage="HP"),VLOOKUP($B34,TBHPI[],COLUMNS(TBHPI[[Strand]:[user_selected_coi_ncoi]]),FALSE),"")))),"")</f>
        <v>COI</v>
      </c>
      <c r="M34" s="99" t="b">
        <f>IF(AND(teacher_type="R",career_stage="P"),IF(AND(COUNTIFS(RPS[Strand],$B34,RPS[QET],M$11)&gt;0,$D34),TRUE,FALSE),IF(AND(teacher_type="R",career_stage="HP"),IF(AND(COUNTIFS(RHPS[Strand],$B34,RHPS[QET],M$11)&gt;0,$D34),TRUE,FALSE), IF(AND(teacher_type="TB",career_stage="P"),IF(AND(COUNTIFS(TBPS[Strand],$B34,TBPS[QET],M$11)&gt;0,$D34),TRUE,FALSE), IF(AND(teacher_type="TB",career_stage="HP"),IF(AND(COUNTIFS(TBHPS[Strand],$B34,TBHPS[QET],M$11)&gt;0,$D34),TRUE,FALSE),FALSE))))</f>
        <v>1</v>
      </c>
      <c r="N34" s="99" t="b">
        <f>IF(AND(teacher_type="R",career_stage="P"),IF(AND(COUNTIFS(RPS[Strand],$B34,RPS[QET],N$11)&gt;0,$D34),TRUE,FALSE),IF(AND(teacher_type="R",career_stage="HP"),IF(AND(COUNTIFS(RHPS[Strand],$B34,RHPS[QET],N$11)&gt;0,$D34),TRUE,FALSE), IF(AND(teacher_type="TB",career_stage="P"),IF(AND(COUNTIFS(TBPS[Strand],$B34,TBPS[QET],N$11)&gt;0,$D34),TRUE,FALSE), IF(AND(teacher_type="TB",career_stage="HP"),IF(AND(COUNTIFS(TBHPS[Strand],$B34,TBHPS[QET],N$11)&gt;0,$D34),TRUE,FALSE),FALSE))))</f>
        <v>1</v>
      </c>
      <c r="O34" s="99" t="b">
        <f>IF(AND(teacher_type="R",career_stage="P"),IF(AND(COUNTIFS(RPS[Strand],$B34,RPS[QET],O$11)&gt;0,$D34),TRUE,FALSE),IF(AND(teacher_type="R",career_stage="HP"),IF(AND(COUNTIFS(RHPS[Strand],$B34,RHPS[QET],O$11)&gt;0,$D34),TRUE,FALSE), IF(AND(teacher_type="TB",career_stage="P"),IF(AND(COUNTIFS(TBPS[Strand],$B34,TBPS[QET],O$11)&gt;0,$D34),TRUE,FALSE), IF(AND(teacher_type="TB",career_stage="HP"),IF(AND(COUNTIFS(TBHPS[Strand],$B34,TBHPS[QET],O$11)&gt;0,$D34),TRUE,FALSE),FALSE))))</f>
        <v>0</v>
      </c>
      <c r="P34" s="710"/>
      <c r="Q34" s="686"/>
      <c r="R34" s="663"/>
      <c r="S34" s="664"/>
      <c r="T34" s="684"/>
      <c r="U34" s="94" t="s">
        <v>1186</v>
      </c>
      <c r="V34" s="391" t="str">
        <f ca="1">IFERROR(IF($N34,IF(AND(career_stage="P",teacher_type="R"),INDEX(INDIRECT("RPS["&amp;V$10&amp;"]"),MATCH($H34,RPS[helper],0),1), IF(AND(career_stage="HP",teacher_type="R"), INDEX(INDIRECT("RHPS["&amp;V$10&amp;"]"),MATCH($H34,RHPS[helper],0),1), IF(AND(career_stage="P",teacher_type="TB"),INDEX(INDIRECT("TBPS["&amp;V$10&amp;"]"),MATCH($H34,TBPS[helper],0),1), IF(AND(career_stage="HP",teacher_type="TB"),INDEX(INDIRECT("TBHPS["&amp;V$10&amp;"]"),MATCH($H34,TBHPS[helper],0),1),"")))),""),"")</f>
        <v>Objective was met within the allotted time</v>
      </c>
      <c r="W34" s="391">
        <f ca="1">IFERROR(IF($N34,IF(AND(career_stage="P",teacher_type="R"),INDEX(INDIRECT("RPS["&amp;W$10&amp;"]"),MATCH($H34,RPS[helper],0),1), IF(AND(career_stage="HP",teacher_type="R"), INDEX(INDIRECT("RHPS["&amp;W$10&amp;"]"),MATCH($H34,RHPS[helper],0),1), IF(AND(career_stage="P",teacher_type="TB"),INDEX(INDIRECT("TBPS["&amp;W$10&amp;"]"),MATCH($H34,TBPS[helper],0),1), IF(AND(career_stage="HP",teacher_type="TB"),INDEX(INDIRECT("TBHPS["&amp;W$10&amp;"]"),MATCH($H34,TBHPS[helper],0),1),"")))),""),"")</f>
        <v>0</v>
      </c>
      <c r="X34" s="391" t="str">
        <f ca="1">IFERROR(IF($N34,IF(AND(career_stage="P",teacher_type="R"),INDEX(INDIRECT("RPS["&amp;X$10&amp;"]"),MATCH($H34,RPS[helper],0),1), IF(AND(career_stage="HP",teacher_type="R"), INDEX(INDIRECT("RHPS["&amp;X$10&amp;"]"),MATCH($H34,RHPS[helper],0),1), IF(AND(career_stage="P",teacher_type="TB"),INDEX(INDIRECT("TBPS["&amp;X$10&amp;"]"),MATCH($H34,TBPS[helper],0),1), IF(AND(career_stage="HP",teacher_type="TB"),INDEX(INDIRECT("TBHPS["&amp;X$10&amp;"]"),MATCH($H34,TBHPS[helper],0),1),"")))),""),"")</f>
        <v>Objective was met but instruction exceeded the allotted time</v>
      </c>
      <c r="Y34" s="391">
        <f ca="1">IFERROR(IF($N34,IF(AND(career_stage="P",teacher_type="R"),INDEX(INDIRECT("RPS["&amp;Y$10&amp;"]"),MATCH($H34,RPS[helper],0),1), IF(AND(career_stage="HP",teacher_type="R"), INDEX(INDIRECT("RHPS["&amp;Y$10&amp;"]"),MATCH($H34,RHPS[helper],0),1), IF(AND(career_stage="P",teacher_type="TB"),INDEX(INDIRECT("TBPS["&amp;Y$10&amp;"]"),MATCH($H34,TBPS[helper],0),1), IF(AND(career_stage="HP",teacher_type="TB"),INDEX(INDIRECT("TBHPS["&amp;Y$10&amp;"]"),MATCH($H34,TBHPS[helper],0),1),"")))),""),"")</f>
        <v>0</v>
      </c>
      <c r="Z34" s="391" t="str">
        <f ca="1">IFERROR(IF($N34,IF(AND(career_stage="P",teacher_type="R"),INDEX(INDIRECT("RPS["&amp;Z$10&amp;"]"),MATCH($H34,RPS[helper],0),1), IF(AND(career_stage="HP",teacher_type="R"), INDEX(INDIRECT("RHPS["&amp;Z$10&amp;"]"),MATCH($H34,RHPS[helper],0),1), IF(AND(career_stage="P",teacher_type="TB"),INDEX(INDIRECT("TBPS["&amp;Z$10&amp;"]"),MATCH($H34,TBPS[helper],0),1), IF(AND(career_stage="HP",teacher_type="TB"),INDEX(INDIRECT("TBHPS["&amp;Z$10&amp;"]"),MATCH($H34,TBHPS[helper],0),1),"")))),""),"")</f>
        <v>No acceptable evidence was shown</v>
      </c>
      <c r="AA34" s="392" t="str" cm="1">
        <f t="array" aca="1" ref="AA34" ca="1">IFERROR(INDEX(V34:Z34,6-AC33),"")</f>
        <v>Objective was met within the allotted time</v>
      </c>
      <c r="AB34" s="680"/>
      <c r="AC34" s="680"/>
      <c r="AD34" s="680"/>
      <c r="AE34" s="682"/>
      <c r="AF34" s="661"/>
      <c r="AG34" s="5"/>
    </row>
    <row r="35" spans="1:33" hidden="1" x14ac:dyDescent="0.25">
      <c r="A35" s="92">
        <v>8</v>
      </c>
      <c r="B35" s="99" t="str" cm="1">
        <f t="array" ref="B35">IFERROR(IF(AND(teacher_type="R",career_stage="P"),INDEX(RPI[Strand],$A35),IF(AND(teacher_type="R",career_stage="HP"),INDEX(RHPI[Strand],$A35), IF(AND(teacher_type="TB",career_stage="P"),INDEX(TBPI[Strand],$A35), IF(AND(teacher_type="TB",career_stage="HP"),INDEX(TBHPI[Strand],$A35),0)))),0)</f>
        <v>2.1.2</v>
      </c>
      <c r="C35" s="99">
        <f>IFERROR(IF(AND(teacher_type="R",career_stage="P"),VLOOKUP($B35,RPI[[Strand]:[Domain]],COLUMNS(RPI[[Strand]:[Domain]]),FALSE), IF(AND(teacher_type="R",career_stage="HP"),VLOOKUP($B35,RHPI[[Strand]:[Domain]],COLUMNS(RHPI[[Strand]:[Domain]]),FALSE), IF(AND(teacher_type="TB",career_stage="P"),VLOOKUP($B35,TBPI[[Strand]:[Domain]],COLUMNS(TBPI[[Strand]:[Domain]]),FALSE), IF(AND(teacher_type="TB",career_stage="HP"),VLOOKUP($B35,TBHPI[[Strand]:[Domain]],COLUMNS(TBHPI[[Strand]:[Domain]]),FALSE),"")))),"")</f>
        <v>2</v>
      </c>
      <c r="D35" s="99" t="b">
        <f>IFERROR(IF(AND(career_stage="P",teacher_type="R"),VLOOKUP(B35,RPI[],COLUMNS(RPI[[Strand]:[Selected]]),FALSE), IF(AND(career_stage="HP",teacher_type="R"),VLOOKUP(B35,RHPI[],COLUMNS(RHPI[[Strand]:[Selected]]),FALSE), IF(AND(career_stage="P",teacher_type="TB"),VLOOKUP(B35,TBPI[],COLUMNS(TBPI[[Strand]:[Selected]]),FALSE), IF(AND(career_stage="HP",teacher_type="TB"),VLOOKUP(B35,TBHPI[],COLUMNS(TBHPI[[Strand]:[Selected]]),FALSE),FALSE)))),FALSE)</f>
        <v>1</v>
      </c>
      <c r="E35" s="92" t="b">
        <f>COUNTIFS($C$12:$C35,C35,$D$12:$D35,TRUE)=1</f>
        <v>0</v>
      </c>
      <c r="F35" s="92" t="b">
        <f>COUNTIFS($C$12:$C35,$C35,$B$12:$B35,$B35,$D$12:$D35,TRUE)=1</f>
        <v>0</v>
      </c>
      <c r="G35" s="99">
        <f>IF($F35,COUNTIFS($C$12:$C35,C35,$F$12:$F35,TRUE),0)</f>
        <v>0</v>
      </c>
      <c r="H35" s="99" t="str">
        <f t="shared" si="0"/>
        <v>2.1.2-T</v>
      </c>
      <c r="I35" s="99">
        <f>IF(AND(D35,NOT($A35=$A34)),(COUNTIF($D$11:$D34,TRUE)/3)+1,0)</f>
        <v>0</v>
      </c>
      <c r="J35" s="99" t="s">
        <v>1014</v>
      </c>
      <c r="K35" s="99" t="b">
        <f>IF(AND(teacher_type="R",career_stage="P"),IF(AND(COUNTIFS(RPS[Strand],$B35,RPS[QET],$J35)&gt;0,$D35),TRUE,FALSE), IF(AND(teacher_type="R",career_stage="HP"),IF(AND(COUNTIFS(RHPS[Strand],$B35,RHPS[QET],$J35)&gt;0,$D35),TRUE,FALSE), IF(AND(teacher_type="TB",career_stage="P"),IF(AND(COUNTIFS(TBPS[Strand],$B35,TBPS[QET],$J35)&gt;0,$D35),TRUE,FALSE), IF(AND(teacher_type="TB",career_stage="HP"),IF(AND(COUNTIFS(TBHPS[Strand],$B35,TBHPS[QET],$J35)&gt;0,$D35),TRUE,FALSE),FALSE))))</f>
        <v>0</v>
      </c>
      <c r="L35" s="99" t="str">
        <f>IF($K35,IF(AND(teacher_type="R",career_stage="P"),VLOOKUP($B35,RPI[],COLUMNS(RPI[[Strand]:[user_selected_coi_ncoi]]),FALSE), IF(AND(teacher_type="R",career_stage="HP"),VLOOKUP($B35,RHPI[],COLUMNS(RHPI[[Strand]:[user_selected_coi_ncoi]]),FALSE), IF(AND(teacher_type="TB",career_stage="P"),VLOOKUP($B35,TBPI[],COLUMNS(TBPI[[Strand]:[user_selected_coi_ncoi]]),FALSE), IF(AND(teacher_type="TB",career_stage="HP"),VLOOKUP($B35,TBHPI[],COLUMNS(TBHPI[[Strand]:[user_selected_coi_ncoi]]),FALSE),"")))),"")</f>
        <v/>
      </c>
      <c r="M35" s="99" t="b">
        <f>IF(AND(teacher_type="R",career_stage="P"),IF(AND(COUNTIFS(RPS[Strand],$B35,RPS[QET],M$11)&gt;0,$D35),TRUE,FALSE),IF(AND(teacher_type="R",career_stage="HP"),IF(AND(COUNTIFS(RHPS[Strand],$B35,RHPS[QET],M$11)&gt;0,$D35),TRUE,FALSE), IF(AND(teacher_type="TB",career_stage="P"),IF(AND(COUNTIFS(TBPS[Strand],$B35,TBPS[QET],M$11)&gt;0,$D35),TRUE,FALSE), IF(AND(teacher_type="TB",career_stage="HP"),IF(AND(COUNTIFS(TBHPS[Strand],$B35,TBHPS[QET],M$11)&gt;0,$D35),TRUE,FALSE),FALSE))))</f>
        <v>1</v>
      </c>
      <c r="N35" s="99" t="b">
        <f>IF(AND(teacher_type="R",career_stage="P"),IF(AND(COUNTIFS(RPS[Strand],$B35,RPS[QET],N$11)&gt;0,$D35),TRUE,FALSE),IF(AND(teacher_type="R",career_stage="HP"),IF(AND(COUNTIFS(RHPS[Strand],$B35,RHPS[QET],N$11)&gt;0,$D35),TRUE,FALSE), IF(AND(teacher_type="TB",career_stage="P"),IF(AND(COUNTIFS(TBPS[Strand],$B35,TBPS[QET],N$11)&gt;0,$D35),TRUE,FALSE), IF(AND(teacher_type="TB",career_stage="HP"),IF(AND(COUNTIFS(TBHPS[Strand],$B35,TBHPS[QET],N$11)&gt;0,$D35),TRUE,FALSE),FALSE))))</f>
        <v>1</v>
      </c>
      <c r="O35" s="99" t="b">
        <f>IF(AND(teacher_type="R",career_stage="P"),IF(AND(COUNTIFS(RPS[Strand],$B35,RPS[QET],O$11)&gt;0,$D35),TRUE,FALSE),IF(AND(teacher_type="R",career_stage="HP"),IF(AND(COUNTIFS(RHPS[Strand],$B35,RHPS[QET],O$11)&gt;0,$D35),TRUE,FALSE), IF(AND(teacher_type="TB",career_stage="P"),IF(AND(COUNTIFS(TBPS[Strand],$B35,TBPS[QET],O$11)&gt;0,$D35),TRUE,FALSE), IF(AND(teacher_type="TB",career_stage="HP"),IF(AND(COUNTIFS(TBHPS[Strand],$B35,TBHPS[QET],O$11)&gt;0,$D35),TRUE,FALSE),FALSE))))</f>
        <v>0</v>
      </c>
      <c r="P35" s="710"/>
      <c r="Q35" s="687"/>
      <c r="R35" s="663"/>
      <c r="S35" s="664"/>
      <c r="T35" s="684"/>
      <c r="U35" s="94" t="s">
        <v>1187</v>
      </c>
      <c r="V35" s="391" t="str">
        <f ca="1">IFERROR(IF($O35,IF(AND(career_stage="P",teacher_type="R"),INDEX(INDIRECT("RPS["&amp;V$10&amp;"]"),MATCH($H35,RPS[helper],0),1), IF(AND(career_stage="HP",teacher_type="R"), INDEX(INDIRECT("RHPS["&amp;V$10&amp;"]"),MATCH($H35,RHPS[helper],0),1), IF(AND(career_stage="P",teacher_type="TB"),INDEX(INDIRECT("TBPS["&amp;V$10&amp;"]"),MATCH($H35,TBPS[helper],0),1), IF(AND(career_stage="HP",teacher_type="TB"),INDEX(INDIRECT("TBHPS["&amp;V$10&amp;"]"),MATCH($H35,TBHPS[helper],0),1),"")))),""),"")</f>
        <v/>
      </c>
      <c r="W35" s="391" t="str">
        <f ca="1">IFERROR(IF($O35,IF(AND(career_stage="P",teacher_type="R"),INDEX(INDIRECT("RPS["&amp;W$10&amp;"]"),MATCH($H35,RPS[helper],0),1), IF(AND(career_stage="HP",teacher_type="R"), INDEX(INDIRECT("RHPS["&amp;W$10&amp;"]"),MATCH($H35,RHPS[helper],0),1), IF(AND(career_stage="P",teacher_type="TB"),INDEX(INDIRECT("TBPS["&amp;W$10&amp;"]"),MATCH($H35,TBPS[helper],0),1), IF(AND(career_stage="HP",teacher_type="TB"),INDEX(INDIRECT("TBHPS["&amp;W$10&amp;"]"),MATCH($H35,TBHPS[helper],0),1),"")))),""),"")</f>
        <v/>
      </c>
      <c r="X35" s="391" t="str">
        <f ca="1">IFERROR(IF($O35,IF(AND(career_stage="P",teacher_type="R"),INDEX(INDIRECT("RPS["&amp;X$10&amp;"]"),MATCH($H35,RPS[helper],0),1), IF(AND(career_stage="HP",teacher_type="R"), INDEX(INDIRECT("RHPS["&amp;X$10&amp;"]"),MATCH($H35,RHPS[helper],0),1), IF(AND(career_stage="P",teacher_type="TB"),INDEX(INDIRECT("TBPS["&amp;X$10&amp;"]"),MATCH($H35,TBPS[helper],0),1), IF(AND(career_stage="HP",teacher_type="TB"),INDEX(INDIRECT("TBHPS["&amp;X$10&amp;"]"),MATCH($H35,TBHPS[helper],0),1),"")))),""),"")</f>
        <v/>
      </c>
      <c r="Y35" s="391" t="str">
        <f ca="1">IFERROR(IF($O35,IF(AND(career_stage="P",teacher_type="R"),INDEX(INDIRECT("RPS["&amp;Y$10&amp;"]"),MATCH($H35,RPS[helper],0),1), IF(AND(career_stage="HP",teacher_type="R"), INDEX(INDIRECT("RHPS["&amp;Y$10&amp;"]"),MATCH($H35,RHPS[helper],0),1), IF(AND(career_stage="P",teacher_type="TB"),INDEX(INDIRECT("TBPS["&amp;Y$10&amp;"]"),MATCH($H35,TBPS[helper],0),1), IF(AND(career_stage="HP",teacher_type="TB"),INDEX(INDIRECT("TBHPS["&amp;Y$10&amp;"]"),MATCH($H35,TBHPS[helper],0),1),"")))),""),"")</f>
        <v/>
      </c>
      <c r="Z35" s="391" t="str">
        <f ca="1">IFERROR(IF($O35,IF(AND(career_stage="P",teacher_type="R"),INDEX(INDIRECT("RPS["&amp;Z$10&amp;"]"),MATCH($H35,RPS[helper],0),1), IF(AND(career_stage="HP",teacher_type="R"), INDEX(INDIRECT("RHPS["&amp;Z$10&amp;"]"),MATCH($H35,RHPS[helper],0),1), IF(AND(career_stage="P",teacher_type="TB"),INDEX(INDIRECT("TBPS["&amp;Z$10&amp;"]"),MATCH($H35,TBPS[helper],0),1), IF(AND(career_stage="HP",teacher_type="TB"),INDEX(INDIRECT("TBHPS["&amp;Z$10&amp;"]"),MATCH($H35,TBHPS[helper],0),1),"")))),""),"")</f>
        <v/>
      </c>
      <c r="AA35" s="391" t="str" cm="1">
        <f t="array" ref="AA35">IFERROR(INDEX(V35:Z35,6-AD33),"")</f>
        <v/>
      </c>
      <c r="AB35" s="680"/>
      <c r="AC35" s="680"/>
      <c r="AD35" s="680"/>
      <c r="AE35" s="682"/>
      <c r="AF35" s="661"/>
      <c r="AG35" s="5"/>
    </row>
    <row r="36" spans="1:33" ht="76.5" x14ac:dyDescent="0.25">
      <c r="A36" s="92">
        <v>9</v>
      </c>
      <c r="B36" s="99" t="str" cm="1">
        <f t="array" ref="B36">IFERROR(IF(AND(teacher_type="R",career_stage="P"),INDEX(RPI[Strand],$A36),IF(AND(teacher_type="R",career_stage="HP"),INDEX(RHPI[Strand],$A36), IF(AND(teacher_type="TB",career_stage="P"),INDEX(TBPI[Strand],$A36), IF(AND(teacher_type="TB",career_stage="HP"),INDEX(TBHPI[Strand],$A36),0)))),0)</f>
        <v>2.2.2</v>
      </c>
      <c r="C36" s="99">
        <f>IFERROR(IF(AND(teacher_type="R",career_stage="P"),VLOOKUP($B36,RPI[[Strand]:[Domain]],COLUMNS(RPI[[Strand]:[Domain]]),FALSE), IF(AND(teacher_type="R",career_stage="HP"),VLOOKUP($B36,RHPI[[Strand]:[Domain]],COLUMNS(RHPI[[Strand]:[Domain]]),FALSE), IF(AND(teacher_type="TB",career_stage="P"),VLOOKUP($B36,TBPI[[Strand]:[Domain]],COLUMNS(TBPI[[Strand]:[Domain]]),FALSE), IF(AND(teacher_type="TB",career_stage="HP"),VLOOKUP($B36,TBHPI[[Strand]:[Domain]],COLUMNS(TBHPI[[Strand]:[Domain]]),FALSE),"")))),"")</f>
        <v>2</v>
      </c>
      <c r="D36" s="99" t="b">
        <f>IFERROR(IF(AND(career_stage="P",teacher_type="R"),VLOOKUP(B36,RPI[],COLUMNS(RPI[[Strand]:[Selected]]),FALSE), IF(AND(career_stage="HP",teacher_type="R"),VLOOKUP(B36,RHPI[],COLUMNS(RHPI[[Strand]:[Selected]]),FALSE), IF(AND(career_stage="P",teacher_type="TB"),VLOOKUP(B36,TBPI[],COLUMNS(TBPI[[Strand]:[Selected]]),FALSE), IF(AND(career_stage="HP",teacher_type="TB"),VLOOKUP(B36,TBHPI[],COLUMNS(TBHPI[[Strand]:[Selected]]),FALSE),FALSE)))),FALSE)</f>
        <v>1</v>
      </c>
      <c r="E36" s="92" t="b">
        <f>COUNTIFS($C$12:$C36,C36,$D$12:$D36,TRUE)=1</f>
        <v>0</v>
      </c>
      <c r="F36" s="92" t="b">
        <f>COUNTIFS($C$12:$C36,$C36,$B$12:$B36,$B36,$D$12:$D36,TRUE)=1</f>
        <v>1</v>
      </c>
      <c r="G36" s="99">
        <f>IF($F36,COUNTIFS($C$12:$C36,C36,$F$12:$F36,TRUE),0)</f>
        <v>2</v>
      </c>
      <c r="H36" s="99" t="str">
        <f t="shared" si="0"/>
        <v>2.2.2-Q-COI</v>
      </c>
      <c r="I36" s="99">
        <f>IF(AND(D36,NOT($A36=$A35)),(COUNTIF($D$11:$D35,TRUE)/3)+1,0)</f>
        <v>6</v>
      </c>
      <c r="J36" s="99" t="s">
        <v>1012</v>
      </c>
      <c r="K36" s="99" t="b">
        <f>IF(AND(teacher_type="R",career_stage="P"),IF(AND(COUNTIFS(RPS[Strand],$B36,RPS[QET],$J36)&gt;0,$D36),TRUE,FALSE), IF(AND(teacher_type="R",career_stage="HP"),IF(AND(COUNTIFS(RHPS[Strand],$B36,RHPS[QET],$J36)&gt;0,$D36),TRUE,FALSE), IF(AND(teacher_type="TB",career_stage="P"),IF(AND(COUNTIFS(TBPS[Strand],$B36,TBPS[QET],$J36)&gt;0,$D36),TRUE,FALSE), IF(AND(teacher_type="TB",career_stage="HP"),IF(AND(COUNTIFS(TBHPS[Strand],$B36,TBHPS[QET],$J36)&gt;0,$D36),TRUE,FALSE),FALSE))))</f>
        <v>1</v>
      </c>
      <c r="L36" s="99" t="str">
        <f>IF($K36,IF(AND(teacher_type="R",career_stage="P"),VLOOKUP($B36,RPI[],COLUMNS(RPI[[Strand]:[user_selected_coi_ncoi]]),FALSE), IF(AND(teacher_type="R",career_stage="HP"),VLOOKUP($B36,RHPI[],COLUMNS(RHPI[[Strand]:[user_selected_coi_ncoi]]),FALSE), IF(AND(teacher_type="TB",career_stage="P"),VLOOKUP($B36,TBPI[],COLUMNS(TBPI[[Strand]:[user_selected_coi_ncoi]]),FALSE), IF(AND(teacher_type="TB",career_stage="HP"),VLOOKUP($B36,TBHPI[],COLUMNS(TBHPI[[Strand]:[user_selected_coi_ncoi]]),FALSE),"")))),"")</f>
        <v>COI</v>
      </c>
      <c r="M36" s="99" t="b">
        <f>IF(AND(teacher_type="R",career_stage="P"),IF(AND(COUNTIFS(RPS[Strand],$B36,RPS[QET],M$11)&gt;0,$D36),TRUE,FALSE),IF(AND(teacher_type="R",career_stage="HP"),IF(AND(COUNTIFS(RHPS[Strand],$B36,RHPS[QET],M$11)&gt;0,$D36),TRUE,FALSE), IF(AND(teacher_type="TB",career_stage="P"),IF(AND(COUNTIFS(TBPS[Strand],$B36,TBPS[QET],M$11)&gt;0,$D36),TRUE,FALSE), IF(AND(teacher_type="TB",career_stage="HP"),IF(AND(COUNTIFS(TBHPS[Strand],$B36,TBHPS[QET],M$11)&gt;0,$D36),TRUE,FALSE),FALSE))))</f>
        <v>1</v>
      </c>
      <c r="N36" s="99" t="b">
        <f>IF(AND(teacher_type="R",career_stage="P"),IF(AND(COUNTIFS(RPS[Strand],$B36,RPS[QET],N$11)&gt;0,$D36),TRUE,FALSE),IF(AND(teacher_type="R",career_stage="HP"),IF(AND(COUNTIFS(RHPS[Strand],$B36,RHPS[QET],N$11)&gt;0,$D36),TRUE,FALSE), IF(AND(teacher_type="TB",career_stage="P"),IF(AND(COUNTIFS(TBPS[Strand],$B36,TBPS[QET],N$11)&gt;0,$D36),TRUE,FALSE), IF(AND(teacher_type="TB",career_stage="HP"),IF(AND(COUNTIFS(TBHPS[Strand],$B36,TBHPS[QET],N$11)&gt;0,$D36),TRUE,FALSE),FALSE))))</f>
        <v>1</v>
      </c>
      <c r="O36" s="99" t="b">
        <f>IF(AND(teacher_type="R",career_stage="P"),IF(AND(COUNTIFS(RPS[Strand],$B36,RPS[QET],O$11)&gt;0,$D36),TRUE,FALSE),IF(AND(teacher_type="R",career_stage="HP"),IF(AND(COUNTIFS(RHPS[Strand],$B36,RHPS[QET],O$11)&gt;0,$D36),TRUE,FALSE), IF(AND(teacher_type="TB",career_stage="P"),IF(AND(COUNTIFS(TBPS[Strand],$B36,TBPS[QET],O$11)&gt;0,$D36),TRUE,FALSE), IF(AND(teacher_type="TB",career_stage="HP"),IF(AND(COUNTIFS(TBHPS[Strand],$B36,TBHPS[QET],O$11)&gt;0,$D36),TRUE,FALSE),FALSE))))</f>
        <v>0</v>
      </c>
      <c r="P36" s="710"/>
      <c r="Q36" s="685" t="str">
        <f>IFERROR(IF(E36,IF(C36="Plus Factor","Plus Factor",C36 &amp; ". " &amp; INDEX(Domains[Domain],MATCH(C36,Domains[Domain_code],0),1)),""),"")</f>
        <v/>
      </c>
      <c r="R36" s="688" t="str">
        <f>IFERROR(IF($F36,$I36 &amp; ". " &amp; IF(AND(career_stage="P",teacher_type="R"), INDEX(RPI[PPST Indicators],MATCH($B36,RPI[Strand],0),1), IF(AND(career_stage="HP",teacher_type="R"),INDEX(RHPI[PPST Indicators],MATCH($B36,RHPI[Strand],0),1), IF(AND(career_stage="P",teacher_type="TB"),INDEX(TBPI[PPST Indicators],MATCH($B36,TBPI[Strand],0),1), IF(AND(career_stage="HP",teacher_type="TB"),INDEX(TBHPI[PPST Indicators],MATCH($B36,TBHPI[Strand],0),1),"")))) &amp; IF(NOT(TRIM(LOWER($C36))="plus factor")," (PPST "&amp;B36&amp;")",""),""),"")</f>
        <v>6. Maintained learning environments that promote fairness, respect and care to encourage learning (PPST 2.2.2)</v>
      </c>
      <c r="S36" s="664" t="str" cm="1">
        <f t="array" ref="S36">demographics[rating_period]</f>
        <v>SY 2023-2024</v>
      </c>
      <c r="T36" s="684">
        <f>IFERROR(IF(AND(career_stage="P",teacher_type="R"),VLOOKUP(B36,RPI[],COLUMNS(RPI[[Strand]:[Weight]]),FALSE), IF(AND(career_stage="HP",teacher_type="R"),VLOOKUP(B36,RHPI[],COLUMNS(RHPI[[Strand]:[Weight]]),FALSE), IF(AND(career_stage="P",teacher_type="TB"),VLOOKUP(B36,TBPI[],COLUMNS(TBPI[[Strand]:[Weight]]),FALSE), IF(AND(career_stage="HP",teacher_type="TB"),VLOOKUP(B36,TBHPI[],COLUMNS(TBHPI[[Strand]:[Weight]]),FALSE),0)))),0)</f>
        <v>7.0000000000000007E-2</v>
      </c>
      <c r="U36" s="94" t="s">
        <v>1185</v>
      </c>
      <c r="V36" s="391" t="str">
        <f ca="1">IFERROR(IF($M36,IF(AND(career_stage="P",teacher_type="R"),INDEX(INDIRECT("RPS["&amp;V$10&amp;"]"),MATCH($H36,RPS[helper],0),1), IF(AND(career_stage="HP",teacher_type="R"), INDEX(INDIRECT("RHPS["&amp;V$10&amp;"]"),MATCH($H36,RHPS[helper],0),1), IF(AND(career_stage="P",teacher_type="TB"),INDEX(INDIRECT("TBPS["&amp;V$10&amp;"]"),MATCH($H36,TBPS[helper],0),1), IF(AND(career_stage="HP",teacher_type="TB"),INDEX(INDIRECT("TBHPS["&amp;V$10&amp;"]"),MATCH($H36,TBHPS[helper],0),1),"")))),""),"")</f>
        <v>Demonstrated Level 7 as shown in COT rating sheets/inter- observer agreement forms</v>
      </c>
      <c r="W36" s="391" t="str">
        <f ca="1">IFERROR(IF($M36,IF(AND(career_stage="P",teacher_type="R"),INDEX(INDIRECT("RPS["&amp;W$10&amp;"]"),MATCH($H36,RPS[helper],0),1), IF(AND(career_stage="HP",teacher_type="R"), INDEX(INDIRECT("RHPS["&amp;W$10&amp;"]"),MATCH($H36,RHPS[helper],0),1), IF(AND(career_stage="P",teacher_type="TB"),INDEX(INDIRECT("TBPS["&amp;W$10&amp;"]"),MATCH($H36,TBPS[helper],0),1), IF(AND(career_stage="HP",teacher_type="TB"),INDEX(INDIRECT("TBHPS["&amp;W$10&amp;"]"),MATCH($H36,TBHPS[helper],0),1),"")))),""),"")</f>
        <v>Demonstrated Level 6 as shown in COT rating sheets/inter- observer agreement forms</v>
      </c>
      <c r="X36" s="391" t="str">
        <f ca="1">IFERROR(IF($M36,IF(AND(career_stage="P",teacher_type="R"),INDEX(INDIRECT("RPS["&amp;X$10&amp;"]"),MATCH($H36,RPS[helper],0),1), IF(AND(career_stage="HP",teacher_type="R"), INDEX(INDIRECT("RHPS["&amp;X$10&amp;"]"),MATCH($H36,RHPS[helper],0),1), IF(AND(career_stage="P",teacher_type="TB"),INDEX(INDIRECT("TBPS["&amp;X$10&amp;"]"),MATCH($H36,TBPS[helper],0),1), IF(AND(career_stage="HP",teacher_type="TB"),INDEX(INDIRECT("TBHPS["&amp;X$10&amp;"]"),MATCH($H36,TBHPS[helper],0),1),"")))),""),"")</f>
        <v>Demonstrated Level 5 as shown in COT rating sheets/inter- observer agreement forms</v>
      </c>
      <c r="Y36" s="391" t="str">
        <f ca="1">IFERROR(IF($M36,IF(AND(career_stage="P",teacher_type="R"),INDEX(INDIRECT("RPS["&amp;Y$10&amp;"]"),MATCH($H36,RPS[helper],0),1), IF(AND(career_stage="HP",teacher_type="R"), INDEX(INDIRECT("RHPS["&amp;Y$10&amp;"]"),MATCH($H36,RHPS[helper],0),1), IF(AND(career_stage="P",teacher_type="TB"),INDEX(INDIRECT("TBPS["&amp;Y$10&amp;"]"),MATCH($H36,TBPS[helper],0),1), IF(AND(career_stage="HP",teacher_type="TB"),INDEX(INDIRECT("TBHPS["&amp;Y$10&amp;"]"),MATCH($H36,TBHPS[helper],0),1),"")))),""),"")</f>
        <v>Demonstrated Level 4 as shown in COT rating sheets/inter- observer agreement forms</v>
      </c>
      <c r="Z36" s="391" t="str">
        <f ca="1">IFERROR(IF($M36,IF(AND(career_stage="P",teacher_type="R"),INDEX(INDIRECT("RPS["&amp;Z$10&amp;"]"),MATCH($H36,RPS[helper],0),1), IF(AND(career_stage="HP",teacher_type="R"), INDEX(INDIRECT("RHPS["&amp;Z$10&amp;"]"),MATCH($H36,RHPS[helper],0),1), IF(AND(career_stage="P",teacher_type="TB"),INDEX(INDIRECT("TBPS["&amp;Z$10&amp;"]"),MATCH($H36,TBPS[helper],0),1), IF(AND(career_stage="HP",teacher_type="TB"),INDEX(INDIRECT("TBHPS["&amp;Z$10&amp;"]"),MATCH($H36,TBHPS[helper],0),1),"")))),""),"")</f>
        <v>Demonstrated Level 3 as shown in COT rating sheets/inter- observer agreement forms or No acceptable evidence was shown</v>
      </c>
      <c r="AA36" s="392" t="str" cm="1">
        <f t="array" aca="1" ref="AA36" ca="1">IFERROR(INDEX(V36:Z36,6-AB36),"")</f>
        <v>Demonstrated Level 7 as shown in COT rating sheets/inter- observer agreement forms</v>
      </c>
      <c r="AB36" s="680">
        <f>IF('Encoding Part 1'!AB30="","",'Encoding Part 1'!AB30)</f>
        <v>5</v>
      </c>
      <c r="AC36" s="680">
        <f>IF('Encoding Part 1'!AC30="","",'Encoding Part 1'!AC30)</f>
        <v>5</v>
      </c>
      <c r="AD36" s="680" t="str">
        <f>IF('Encoding Part 1'!AD30="","",'Encoding Part 1'!AD30)</f>
        <v/>
      </c>
      <c r="AE36" s="682">
        <f t="shared" ref="AE36" si="15">IFERROR(ROUNDDOWN(AVERAGE($AB36:$AD36),3),0)</f>
        <v>5</v>
      </c>
      <c r="AF36" s="661">
        <f t="shared" ref="AF36" si="16">ROUNDDOWN($AE36*$T36,3)</f>
        <v>0.35</v>
      </c>
      <c r="AG36" s="5"/>
    </row>
    <row r="37" spans="1:33" ht="38.25" x14ac:dyDescent="0.25">
      <c r="A37" s="92">
        <v>9</v>
      </c>
      <c r="B37" s="99" t="str" cm="1">
        <f t="array" ref="B37">IFERROR(IF(AND(teacher_type="R",career_stage="P"),INDEX(RPI[Strand],$A37),IF(AND(teacher_type="R",career_stage="HP"),INDEX(RHPI[Strand],$A37), IF(AND(teacher_type="TB",career_stage="P"),INDEX(TBPI[Strand],$A37), IF(AND(teacher_type="TB",career_stage="HP"),INDEX(TBHPI[Strand],$A37),0)))),0)</f>
        <v>2.2.2</v>
      </c>
      <c r="C37" s="99">
        <f>IFERROR(IF(AND(teacher_type="R",career_stage="P"),VLOOKUP($B37,RPI[[Strand]:[Domain]],COLUMNS(RPI[[Strand]:[Domain]]),FALSE), IF(AND(teacher_type="R",career_stage="HP"),VLOOKUP($B37,RHPI[[Strand]:[Domain]],COLUMNS(RHPI[[Strand]:[Domain]]),FALSE), IF(AND(teacher_type="TB",career_stage="P"),VLOOKUP($B37,TBPI[[Strand]:[Domain]],COLUMNS(TBPI[[Strand]:[Domain]]),FALSE), IF(AND(teacher_type="TB",career_stage="HP"),VLOOKUP($B37,TBHPI[[Strand]:[Domain]],COLUMNS(TBHPI[[Strand]:[Domain]]),FALSE),"")))),"")</f>
        <v>2</v>
      </c>
      <c r="D37" s="99" t="b">
        <f>IFERROR(IF(AND(career_stage="P",teacher_type="R"),VLOOKUP(B37,RPI[],COLUMNS(RPI[[Strand]:[Selected]]),FALSE), IF(AND(career_stage="HP",teacher_type="R"),VLOOKUP(B37,RHPI[],COLUMNS(RHPI[[Strand]:[Selected]]),FALSE), IF(AND(career_stage="P",teacher_type="TB"),VLOOKUP(B37,TBPI[],COLUMNS(TBPI[[Strand]:[Selected]]),FALSE), IF(AND(career_stage="HP",teacher_type="TB"),VLOOKUP(B37,TBHPI[],COLUMNS(TBHPI[[Strand]:[Selected]]),FALSE),FALSE)))),FALSE)</f>
        <v>1</v>
      </c>
      <c r="E37" s="92" t="b">
        <f>COUNTIFS($C$12:$C37,C37,$D$12:$D37,TRUE)=1</f>
        <v>0</v>
      </c>
      <c r="F37" s="92" t="b">
        <f>COUNTIFS($C$12:$C37,$C37,$B$12:$B37,$B37,$D$12:$D37,TRUE)=1</f>
        <v>0</v>
      </c>
      <c r="G37" s="99">
        <f>IF($F37,COUNTIFS($C$12:$C37,C37,$F$12:$F37,TRUE),0)</f>
        <v>0</v>
      </c>
      <c r="H37" s="99" t="str">
        <f t="shared" si="0"/>
        <v>2.2.2-E-COI</v>
      </c>
      <c r="I37" s="99">
        <f>IF(AND(D37,NOT($A37=$A36)),(COUNTIF($D$11:$D36,TRUE)/3)+1,0)</f>
        <v>0</v>
      </c>
      <c r="J37" s="99" t="s">
        <v>1073</v>
      </c>
      <c r="K37" s="99" t="b">
        <f>IF(AND(teacher_type="R",career_stage="P"),IF(AND(COUNTIFS(RPS[Strand],$B37,RPS[QET],$J37)&gt;0,$D37),TRUE,FALSE), IF(AND(teacher_type="R",career_stage="HP"),IF(AND(COUNTIFS(RHPS[Strand],$B37,RHPS[QET],$J37)&gt;0,$D37),TRUE,FALSE), IF(AND(teacher_type="TB",career_stage="P"),IF(AND(COUNTIFS(TBPS[Strand],$B37,TBPS[QET],$J37)&gt;0,$D37),TRUE,FALSE), IF(AND(teacher_type="TB",career_stage="HP"),IF(AND(COUNTIFS(TBHPS[Strand],$B37,TBHPS[QET],$J37)&gt;0,$D37),TRUE,FALSE),FALSE))))</f>
        <v>1</v>
      </c>
      <c r="L37" s="99" t="str">
        <f>IF($K37,IF(AND(teacher_type="R",career_stage="P"),VLOOKUP($B37,RPI[],COLUMNS(RPI[[Strand]:[user_selected_coi_ncoi]]),FALSE), IF(AND(teacher_type="R",career_stage="HP"),VLOOKUP($B37,RHPI[],COLUMNS(RHPI[[Strand]:[user_selected_coi_ncoi]]),FALSE), IF(AND(teacher_type="TB",career_stage="P"),VLOOKUP($B37,TBPI[],COLUMNS(TBPI[[Strand]:[user_selected_coi_ncoi]]),FALSE), IF(AND(teacher_type="TB",career_stage="HP"),VLOOKUP($B37,TBHPI[],COLUMNS(TBHPI[[Strand]:[user_selected_coi_ncoi]]),FALSE),"")))),"")</f>
        <v>COI</v>
      </c>
      <c r="M37" s="99" t="b">
        <f>IF(AND(teacher_type="R",career_stage="P"),IF(AND(COUNTIFS(RPS[Strand],$B37,RPS[QET],M$11)&gt;0,$D37),TRUE,FALSE),IF(AND(teacher_type="R",career_stage="HP"),IF(AND(COUNTIFS(RHPS[Strand],$B37,RHPS[QET],M$11)&gt;0,$D37),TRUE,FALSE), IF(AND(teacher_type="TB",career_stage="P"),IF(AND(COUNTIFS(TBPS[Strand],$B37,TBPS[QET],M$11)&gt;0,$D37),TRUE,FALSE), IF(AND(teacher_type="TB",career_stage="HP"),IF(AND(COUNTIFS(TBHPS[Strand],$B37,TBHPS[QET],M$11)&gt;0,$D37),TRUE,FALSE),FALSE))))</f>
        <v>1</v>
      </c>
      <c r="N37" s="99" t="b">
        <f>IF(AND(teacher_type="R",career_stage="P"),IF(AND(COUNTIFS(RPS[Strand],$B37,RPS[QET],N$11)&gt;0,$D37),TRUE,FALSE),IF(AND(teacher_type="R",career_stage="HP"),IF(AND(COUNTIFS(RHPS[Strand],$B37,RHPS[QET],N$11)&gt;0,$D37),TRUE,FALSE), IF(AND(teacher_type="TB",career_stage="P"),IF(AND(COUNTIFS(TBPS[Strand],$B37,TBPS[QET],N$11)&gt;0,$D37),TRUE,FALSE), IF(AND(teacher_type="TB",career_stage="HP"),IF(AND(COUNTIFS(TBHPS[Strand],$B37,TBHPS[QET],N$11)&gt;0,$D37),TRUE,FALSE),FALSE))))</f>
        <v>1</v>
      </c>
      <c r="O37" s="99" t="b">
        <f>IF(AND(teacher_type="R",career_stage="P"),IF(AND(COUNTIFS(RPS[Strand],$B37,RPS[QET],O$11)&gt;0,$D37),TRUE,FALSE),IF(AND(teacher_type="R",career_stage="HP"),IF(AND(COUNTIFS(RHPS[Strand],$B37,RHPS[QET],O$11)&gt;0,$D37),TRUE,FALSE), IF(AND(teacher_type="TB",career_stage="P"),IF(AND(COUNTIFS(TBPS[Strand],$B37,TBPS[QET],O$11)&gt;0,$D37),TRUE,FALSE), IF(AND(teacher_type="TB",career_stage="HP"),IF(AND(COUNTIFS(TBHPS[Strand],$B37,TBHPS[QET],O$11)&gt;0,$D37),TRUE,FALSE),FALSE))))</f>
        <v>0</v>
      </c>
      <c r="P37" s="710"/>
      <c r="Q37" s="686"/>
      <c r="R37" s="688"/>
      <c r="S37" s="664"/>
      <c r="T37" s="684"/>
      <c r="U37" s="94" t="s">
        <v>1186</v>
      </c>
      <c r="V37" s="391" t="str">
        <f ca="1">IFERROR(IF($N37,IF(AND(career_stage="P",teacher_type="R"),INDEX(INDIRECT("RPS["&amp;V$10&amp;"]"),MATCH($H37,RPS[helper],0),1), IF(AND(career_stage="HP",teacher_type="R"), INDEX(INDIRECT("RHPS["&amp;V$10&amp;"]"),MATCH($H37,RHPS[helper],0),1), IF(AND(career_stage="P",teacher_type="TB"),INDEX(INDIRECT("TBPS["&amp;V$10&amp;"]"),MATCH($H37,TBPS[helper],0),1), IF(AND(career_stage="HP",teacher_type="TB"),INDEX(INDIRECT("TBHPS["&amp;V$10&amp;"]"),MATCH($H37,TBHPS[helper],0),1),"")))),""),"")</f>
        <v>Objective was met within the allotted time</v>
      </c>
      <c r="W37" s="391">
        <f ca="1">IFERROR(IF($N37,IF(AND(career_stage="P",teacher_type="R"),INDEX(INDIRECT("RPS["&amp;W$10&amp;"]"),MATCH($H37,RPS[helper],0),1), IF(AND(career_stage="HP",teacher_type="R"), INDEX(INDIRECT("RHPS["&amp;W$10&amp;"]"),MATCH($H37,RHPS[helper],0),1), IF(AND(career_stage="P",teacher_type="TB"),INDEX(INDIRECT("TBPS["&amp;W$10&amp;"]"),MATCH($H37,TBPS[helper],0),1), IF(AND(career_stage="HP",teacher_type="TB"),INDEX(INDIRECT("TBHPS["&amp;W$10&amp;"]"),MATCH($H37,TBHPS[helper],0),1),"")))),""),"")</f>
        <v>0</v>
      </c>
      <c r="X37" s="391" t="str">
        <f ca="1">IFERROR(IF($N37,IF(AND(career_stage="P",teacher_type="R"),INDEX(INDIRECT("RPS["&amp;X$10&amp;"]"),MATCH($H37,RPS[helper],0),1), IF(AND(career_stage="HP",teacher_type="R"), INDEX(INDIRECT("RHPS["&amp;X$10&amp;"]"),MATCH($H37,RHPS[helper],0),1), IF(AND(career_stage="P",teacher_type="TB"),INDEX(INDIRECT("TBPS["&amp;X$10&amp;"]"),MATCH($H37,TBPS[helper],0),1), IF(AND(career_stage="HP",teacher_type="TB"),INDEX(INDIRECT("TBHPS["&amp;X$10&amp;"]"),MATCH($H37,TBHPS[helper],0),1),"")))),""),"")</f>
        <v>Objective was met but instruction exceeded the allotted time</v>
      </c>
      <c r="Y37" s="391">
        <f ca="1">IFERROR(IF($N37,IF(AND(career_stage="P",teacher_type="R"),INDEX(INDIRECT("RPS["&amp;Y$10&amp;"]"),MATCH($H37,RPS[helper],0),1), IF(AND(career_stage="HP",teacher_type="R"), INDEX(INDIRECT("RHPS["&amp;Y$10&amp;"]"),MATCH($H37,RHPS[helper],0),1), IF(AND(career_stage="P",teacher_type="TB"),INDEX(INDIRECT("TBPS["&amp;Y$10&amp;"]"),MATCH($H37,TBPS[helper],0),1), IF(AND(career_stage="HP",teacher_type="TB"),INDEX(INDIRECT("TBHPS["&amp;Y$10&amp;"]"),MATCH($H37,TBHPS[helper],0),1),"")))),""),"")</f>
        <v>0</v>
      </c>
      <c r="Z37" s="391" t="str">
        <f ca="1">IFERROR(IF($N37,IF(AND(career_stage="P",teacher_type="R"),INDEX(INDIRECT("RPS["&amp;Z$10&amp;"]"),MATCH($H37,RPS[helper],0),1), IF(AND(career_stage="HP",teacher_type="R"), INDEX(INDIRECT("RHPS["&amp;Z$10&amp;"]"),MATCH($H37,RHPS[helper],0),1), IF(AND(career_stage="P",teacher_type="TB"),INDEX(INDIRECT("TBPS["&amp;Z$10&amp;"]"),MATCH($H37,TBPS[helper],0),1), IF(AND(career_stage="HP",teacher_type="TB"),INDEX(INDIRECT("TBHPS["&amp;Z$10&amp;"]"),MATCH($H37,TBHPS[helper],0),1),"")))),""),"")</f>
        <v>No acceptable evidence was shown</v>
      </c>
      <c r="AA37" s="392" t="str" cm="1">
        <f t="array" aca="1" ref="AA37" ca="1">IFERROR(INDEX(V37:Z37,6-AC36),"")</f>
        <v>Objective was met within the allotted time</v>
      </c>
      <c r="AB37" s="680"/>
      <c r="AC37" s="680"/>
      <c r="AD37" s="680"/>
      <c r="AE37" s="682"/>
      <c r="AF37" s="661"/>
      <c r="AG37" s="5"/>
    </row>
    <row r="38" spans="1:33" hidden="1" x14ac:dyDescent="0.25">
      <c r="A38" s="92">
        <v>9</v>
      </c>
      <c r="B38" s="99" t="str" cm="1">
        <f t="array" ref="B38">IFERROR(IF(AND(teacher_type="R",career_stage="P"),INDEX(RPI[Strand],$A38),IF(AND(teacher_type="R",career_stage="HP"),INDEX(RHPI[Strand],$A38), IF(AND(teacher_type="TB",career_stage="P"),INDEX(TBPI[Strand],$A38), IF(AND(teacher_type="TB",career_stage="HP"),INDEX(TBHPI[Strand],$A38),0)))),0)</f>
        <v>2.2.2</v>
      </c>
      <c r="C38" s="99">
        <f>IFERROR(IF(AND(teacher_type="R",career_stage="P"),VLOOKUP($B38,RPI[[Strand]:[Domain]],COLUMNS(RPI[[Strand]:[Domain]]),FALSE), IF(AND(teacher_type="R",career_stage="HP"),VLOOKUP($B38,RHPI[[Strand]:[Domain]],COLUMNS(RHPI[[Strand]:[Domain]]),FALSE), IF(AND(teacher_type="TB",career_stage="P"),VLOOKUP($B38,TBPI[[Strand]:[Domain]],COLUMNS(TBPI[[Strand]:[Domain]]),FALSE), IF(AND(teacher_type="TB",career_stage="HP"),VLOOKUP($B38,TBHPI[[Strand]:[Domain]],COLUMNS(TBHPI[[Strand]:[Domain]]),FALSE),"")))),"")</f>
        <v>2</v>
      </c>
      <c r="D38" s="99" t="b">
        <f>IFERROR(IF(AND(career_stage="P",teacher_type="R"),VLOOKUP(B38,RPI[],COLUMNS(RPI[[Strand]:[Selected]]),FALSE), IF(AND(career_stage="HP",teacher_type="R"),VLOOKUP(B38,RHPI[],COLUMNS(RHPI[[Strand]:[Selected]]),FALSE), IF(AND(career_stage="P",teacher_type="TB"),VLOOKUP(B38,TBPI[],COLUMNS(TBPI[[Strand]:[Selected]]),FALSE), IF(AND(career_stage="HP",teacher_type="TB"),VLOOKUP(B38,TBHPI[],COLUMNS(TBHPI[[Strand]:[Selected]]),FALSE),FALSE)))),FALSE)</f>
        <v>1</v>
      </c>
      <c r="E38" s="92" t="b">
        <f>COUNTIFS($C$12:$C38,C38,$D$12:$D38,TRUE)=1</f>
        <v>0</v>
      </c>
      <c r="F38" s="92" t="b">
        <f>COUNTIFS($C$12:$C38,$C38,$B$12:$B38,$B38,$D$12:$D38,TRUE)=1</f>
        <v>0</v>
      </c>
      <c r="G38" s="99">
        <f>IF($F38,COUNTIFS($C$12:$C38,C38,$F$12:$F38,TRUE),0)</f>
        <v>0</v>
      </c>
      <c r="H38" s="99" t="str">
        <f t="shared" si="0"/>
        <v>2.2.2-T</v>
      </c>
      <c r="I38" s="99">
        <f>IF(AND(D38,NOT($A38=$A37)),(COUNTIF($D$11:$D37,TRUE)/3)+1,0)</f>
        <v>0</v>
      </c>
      <c r="J38" s="99" t="s">
        <v>1014</v>
      </c>
      <c r="K38" s="99" t="b">
        <f>IF(AND(teacher_type="R",career_stage="P"),IF(AND(COUNTIFS(RPS[Strand],$B38,RPS[QET],$J38)&gt;0,$D38),TRUE,FALSE), IF(AND(teacher_type="R",career_stage="HP"),IF(AND(COUNTIFS(RHPS[Strand],$B38,RHPS[QET],$J38)&gt;0,$D38),TRUE,FALSE), IF(AND(teacher_type="TB",career_stage="P"),IF(AND(COUNTIFS(TBPS[Strand],$B38,TBPS[QET],$J38)&gt;0,$D38),TRUE,FALSE), IF(AND(teacher_type="TB",career_stage="HP"),IF(AND(COUNTIFS(TBHPS[Strand],$B38,TBHPS[QET],$J38)&gt;0,$D38),TRUE,FALSE),FALSE))))</f>
        <v>0</v>
      </c>
      <c r="L38" s="99" t="str">
        <f>IF($K38,IF(AND(teacher_type="R",career_stage="P"),VLOOKUP($B38,RPI[],COLUMNS(RPI[[Strand]:[user_selected_coi_ncoi]]),FALSE), IF(AND(teacher_type="R",career_stage="HP"),VLOOKUP($B38,RHPI[],COLUMNS(RHPI[[Strand]:[user_selected_coi_ncoi]]),FALSE), IF(AND(teacher_type="TB",career_stage="P"),VLOOKUP($B38,TBPI[],COLUMNS(TBPI[[Strand]:[user_selected_coi_ncoi]]),FALSE), IF(AND(teacher_type="TB",career_stage="HP"),VLOOKUP($B38,TBHPI[],COLUMNS(TBHPI[[Strand]:[user_selected_coi_ncoi]]),FALSE),"")))),"")</f>
        <v/>
      </c>
      <c r="M38" s="99" t="b">
        <f>IF(AND(teacher_type="R",career_stage="P"),IF(AND(COUNTIFS(RPS[Strand],$B38,RPS[QET],M$11)&gt;0,$D38),TRUE,FALSE),IF(AND(teacher_type="R",career_stage="HP"),IF(AND(COUNTIFS(RHPS[Strand],$B38,RHPS[QET],M$11)&gt;0,$D38),TRUE,FALSE), IF(AND(teacher_type="TB",career_stage="P"),IF(AND(COUNTIFS(TBPS[Strand],$B38,TBPS[QET],M$11)&gt;0,$D38),TRUE,FALSE), IF(AND(teacher_type="TB",career_stage="HP"),IF(AND(COUNTIFS(TBHPS[Strand],$B38,TBHPS[QET],M$11)&gt;0,$D38),TRUE,FALSE),FALSE))))</f>
        <v>1</v>
      </c>
      <c r="N38" s="99" t="b">
        <f>IF(AND(teacher_type="R",career_stage="P"),IF(AND(COUNTIFS(RPS[Strand],$B38,RPS[QET],N$11)&gt;0,$D38),TRUE,FALSE),IF(AND(teacher_type="R",career_stage="HP"),IF(AND(COUNTIFS(RHPS[Strand],$B38,RHPS[QET],N$11)&gt;0,$D38),TRUE,FALSE), IF(AND(teacher_type="TB",career_stage="P"),IF(AND(COUNTIFS(TBPS[Strand],$B38,TBPS[QET],N$11)&gt;0,$D38),TRUE,FALSE), IF(AND(teacher_type="TB",career_stage="HP"),IF(AND(COUNTIFS(TBHPS[Strand],$B38,TBHPS[QET],N$11)&gt;0,$D38),TRUE,FALSE),FALSE))))</f>
        <v>1</v>
      </c>
      <c r="O38" s="99" t="b">
        <f>IF(AND(teacher_type="R",career_stage="P"),IF(AND(COUNTIFS(RPS[Strand],$B38,RPS[QET],O$11)&gt;0,$D38),TRUE,FALSE),IF(AND(teacher_type="R",career_stage="HP"),IF(AND(COUNTIFS(RHPS[Strand],$B38,RHPS[QET],O$11)&gt;0,$D38),TRUE,FALSE), IF(AND(teacher_type="TB",career_stage="P"),IF(AND(COUNTIFS(TBPS[Strand],$B38,TBPS[QET],O$11)&gt;0,$D38),TRUE,FALSE), IF(AND(teacher_type="TB",career_stage="HP"),IF(AND(COUNTIFS(TBHPS[Strand],$B38,TBHPS[QET],O$11)&gt;0,$D38),TRUE,FALSE),FALSE))))</f>
        <v>0</v>
      </c>
      <c r="P38" s="710"/>
      <c r="Q38" s="687"/>
      <c r="R38" s="688"/>
      <c r="S38" s="664"/>
      <c r="T38" s="684"/>
      <c r="U38" s="94" t="s">
        <v>1187</v>
      </c>
      <c r="V38" s="391" t="str">
        <f ca="1">IFERROR(IF($O38,IF(AND(career_stage="P",teacher_type="R"),INDEX(INDIRECT("RPS["&amp;V$10&amp;"]"),MATCH($H38,RPS[helper],0),1), IF(AND(career_stage="HP",teacher_type="R"), INDEX(INDIRECT("RHPS["&amp;V$10&amp;"]"),MATCH($H38,RHPS[helper],0),1), IF(AND(career_stage="P",teacher_type="TB"),INDEX(INDIRECT("TBPS["&amp;V$10&amp;"]"),MATCH($H38,TBPS[helper],0),1), IF(AND(career_stage="HP",teacher_type="TB"),INDEX(INDIRECT("TBHPS["&amp;V$10&amp;"]"),MATCH($H38,TBHPS[helper],0),1),"")))),""),"")</f>
        <v/>
      </c>
      <c r="W38" s="391" t="str">
        <f ca="1">IFERROR(IF($O38,IF(AND(career_stage="P",teacher_type="R"),INDEX(INDIRECT("RPS["&amp;W$10&amp;"]"),MATCH($H38,RPS[helper],0),1), IF(AND(career_stage="HP",teacher_type="R"), INDEX(INDIRECT("RHPS["&amp;W$10&amp;"]"),MATCH($H38,RHPS[helper],0),1), IF(AND(career_stage="P",teacher_type="TB"),INDEX(INDIRECT("TBPS["&amp;W$10&amp;"]"),MATCH($H38,TBPS[helper],0),1), IF(AND(career_stage="HP",teacher_type="TB"),INDEX(INDIRECT("TBHPS["&amp;W$10&amp;"]"),MATCH($H38,TBHPS[helper],0),1),"")))),""),"")</f>
        <v/>
      </c>
      <c r="X38" s="391" t="str">
        <f ca="1">IFERROR(IF($O38,IF(AND(career_stage="P",teacher_type="R"),INDEX(INDIRECT("RPS["&amp;X$10&amp;"]"),MATCH($H38,RPS[helper],0),1), IF(AND(career_stage="HP",teacher_type="R"), INDEX(INDIRECT("RHPS["&amp;X$10&amp;"]"),MATCH($H38,RHPS[helper],0),1), IF(AND(career_stage="P",teacher_type="TB"),INDEX(INDIRECT("TBPS["&amp;X$10&amp;"]"),MATCH($H38,TBPS[helper],0),1), IF(AND(career_stage="HP",teacher_type="TB"),INDEX(INDIRECT("TBHPS["&amp;X$10&amp;"]"),MATCH($H38,TBHPS[helper],0),1),"")))),""),"")</f>
        <v/>
      </c>
      <c r="Y38" s="391" t="str">
        <f ca="1">IFERROR(IF($O38,IF(AND(career_stage="P",teacher_type="R"),INDEX(INDIRECT("RPS["&amp;Y$10&amp;"]"),MATCH($H38,RPS[helper],0),1), IF(AND(career_stage="HP",teacher_type="R"), INDEX(INDIRECT("RHPS["&amp;Y$10&amp;"]"),MATCH($H38,RHPS[helper],0),1), IF(AND(career_stage="P",teacher_type="TB"),INDEX(INDIRECT("TBPS["&amp;Y$10&amp;"]"),MATCH($H38,TBPS[helper],0),1), IF(AND(career_stage="HP",teacher_type="TB"),INDEX(INDIRECT("TBHPS["&amp;Y$10&amp;"]"),MATCH($H38,TBHPS[helper],0),1),"")))),""),"")</f>
        <v/>
      </c>
      <c r="Z38" s="391" t="str">
        <f ca="1">IFERROR(IF($O38,IF(AND(career_stage="P",teacher_type="R"),INDEX(INDIRECT("RPS["&amp;Z$10&amp;"]"),MATCH($H38,RPS[helper],0),1), IF(AND(career_stage="HP",teacher_type="R"), INDEX(INDIRECT("RHPS["&amp;Z$10&amp;"]"),MATCH($H38,RHPS[helper],0),1), IF(AND(career_stage="P",teacher_type="TB"),INDEX(INDIRECT("TBPS["&amp;Z$10&amp;"]"),MATCH($H38,TBPS[helper],0),1), IF(AND(career_stage="HP",teacher_type="TB"),INDEX(INDIRECT("TBHPS["&amp;Z$10&amp;"]"),MATCH($H38,TBHPS[helper],0),1),"")))),""),"")</f>
        <v/>
      </c>
      <c r="AA38" s="391" t="str" cm="1">
        <f t="array" ref="AA38">IFERROR(INDEX(V38:Z38,6-AD36),"")</f>
        <v/>
      </c>
      <c r="AB38" s="680"/>
      <c r="AC38" s="680"/>
      <c r="AD38" s="680"/>
      <c r="AE38" s="682"/>
      <c r="AF38" s="661"/>
      <c r="AG38" s="5"/>
    </row>
    <row r="39" spans="1:33" hidden="1" x14ac:dyDescent="0.25">
      <c r="A39" s="92">
        <v>10</v>
      </c>
      <c r="B39" s="99" t="str" cm="1">
        <f t="array" ref="B39">IFERROR(IF(AND(teacher_type="R",career_stage="P"),INDEX(RPI[Strand],$A39),IF(AND(teacher_type="R",career_stage="HP"),INDEX(RHPI[Strand],$A39), IF(AND(teacher_type="TB",career_stage="P"),INDEX(TBPI[Strand],$A39), IF(AND(teacher_type="TB",career_stage="HP"),INDEX(TBHPI[Strand],$A39),0)))),0)</f>
        <v>2.3.2</v>
      </c>
      <c r="C39" s="99">
        <f>IFERROR(IF(AND(teacher_type="R",career_stage="P"),VLOOKUP($B39,RPI[[Strand]:[Domain]],COLUMNS(RPI[[Strand]:[Domain]]),FALSE), IF(AND(teacher_type="R",career_stage="HP"),VLOOKUP($B39,RHPI[[Strand]:[Domain]],COLUMNS(RHPI[[Strand]:[Domain]]),FALSE), IF(AND(teacher_type="TB",career_stage="P"),VLOOKUP($B39,TBPI[[Strand]:[Domain]],COLUMNS(TBPI[[Strand]:[Domain]]),FALSE), IF(AND(teacher_type="TB",career_stage="HP"),VLOOKUP($B39,TBHPI[[Strand]:[Domain]],COLUMNS(TBHPI[[Strand]:[Domain]]),FALSE),"")))),"")</f>
        <v>2</v>
      </c>
      <c r="D39" s="99" t="b">
        <f>IFERROR(IF(AND(career_stage="P",teacher_type="R"),VLOOKUP(B39,RPI[],COLUMNS(RPI[[Strand]:[Selected]]),FALSE), IF(AND(career_stage="HP",teacher_type="R"),VLOOKUP(B39,RHPI[],COLUMNS(RHPI[[Strand]:[Selected]]),FALSE), IF(AND(career_stage="P",teacher_type="TB"),VLOOKUP(B39,TBPI[],COLUMNS(TBPI[[Strand]:[Selected]]),FALSE), IF(AND(career_stage="HP",teacher_type="TB"),VLOOKUP(B39,TBHPI[],COLUMNS(TBHPI[[Strand]:[Selected]]),FALSE),FALSE)))),FALSE)</f>
        <v>0</v>
      </c>
      <c r="E39" s="92" t="b">
        <f>COUNTIFS($C$12:$C39,C39,$D$12:$D39,TRUE)=1</f>
        <v>0</v>
      </c>
      <c r="F39" s="92" t="b">
        <f>COUNTIFS($C$12:$C39,$C39,$B$12:$B39,$B39,$D$12:$D39,TRUE)=1</f>
        <v>0</v>
      </c>
      <c r="G39" s="99">
        <f>IF($F39,COUNTIFS($C$12:$C39,C39,$F$12:$F39,TRUE),0)</f>
        <v>0</v>
      </c>
      <c r="H39" s="99" t="str">
        <f t="shared" si="0"/>
        <v>2.3.2-Q</v>
      </c>
      <c r="I39" s="99">
        <f>IF(AND(D39,NOT($A39=$A38)),(COUNTIF($D$11:$D38,TRUE)/3)+1,0)</f>
        <v>0</v>
      </c>
      <c r="J39" s="99" t="s">
        <v>1012</v>
      </c>
      <c r="K39" s="99" t="b">
        <f>IF(AND(teacher_type="R",career_stage="P"),IF(AND(COUNTIFS(RPS[Strand],$B39,RPS[QET],$J39)&gt;0,$D39),TRUE,FALSE), IF(AND(teacher_type="R",career_stage="HP"),IF(AND(COUNTIFS(RHPS[Strand],$B39,RHPS[QET],$J39)&gt;0,$D39),TRUE,FALSE), IF(AND(teacher_type="TB",career_stage="P"),IF(AND(COUNTIFS(TBPS[Strand],$B39,TBPS[QET],$J39)&gt;0,$D39),TRUE,FALSE), IF(AND(teacher_type="TB",career_stage="HP"),IF(AND(COUNTIFS(TBHPS[Strand],$B39,TBHPS[QET],$J39)&gt;0,$D39),TRUE,FALSE),FALSE))))</f>
        <v>0</v>
      </c>
      <c r="L39" s="99" t="str">
        <f>IF($K39,IF(AND(teacher_type="R",career_stage="P"),VLOOKUP($B39,RPI[],COLUMNS(RPI[[Strand]:[user_selected_coi_ncoi]]),FALSE), IF(AND(teacher_type="R",career_stage="HP"),VLOOKUP($B39,RHPI[],COLUMNS(RHPI[[Strand]:[user_selected_coi_ncoi]]),FALSE), IF(AND(teacher_type="TB",career_stage="P"),VLOOKUP($B39,TBPI[],COLUMNS(TBPI[[Strand]:[user_selected_coi_ncoi]]),FALSE), IF(AND(teacher_type="TB",career_stage="HP"),VLOOKUP($B39,TBHPI[],COLUMNS(TBHPI[[Strand]:[user_selected_coi_ncoi]]),FALSE),"")))),"")</f>
        <v/>
      </c>
      <c r="M39" s="99" t="b">
        <f>IF(AND(teacher_type="R",career_stage="P"),IF(AND(COUNTIFS(RPS[Strand],$B39,RPS[QET],M$11)&gt;0,$D39),TRUE,FALSE),IF(AND(teacher_type="R",career_stage="HP"),IF(AND(COUNTIFS(RHPS[Strand],$B39,RHPS[QET],M$11)&gt;0,$D39),TRUE,FALSE), IF(AND(teacher_type="TB",career_stage="P"),IF(AND(COUNTIFS(TBPS[Strand],$B39,TBPS[QET],M$11)&gt;0,$D39),TRUE,FALSE), IF(AND(teacher_type="TB",career_stage="HP"),IF(AND(COUNTIFS(TBHPS[Strand],$B39,TBHPS[QET],M$11)&gt;0,$D39),TRUE,FALSE),FALSE))))</f>
        <v>0</v>
      </c>
      <c r="N39" s="99" t="b">
        <f>IF(AND(teacher_type="R",career_stage="P"),IF(AND(COUNTIFS(RPS[Strand],$B39,RPS[QET],N$11)&gt;0,$D39),TRUE,FALSE),IF(AND(teacher_type="R",career_stage="HP"),IF(AND(COUNTIFS(RHPS[Strand],$B39,RHPS[QET],N$11)&gt;0,$D39),TRUE,FALSE), IF(AND(teacher_type="TB",career_stage="P"),IF(AND(COUNTIFS(TBPS[Strand],$B39,TBPS[QET],N$11)&gt;0,$D39),TRUE,FALSE), IF(AND(teacher_type="TB",career_stage="HP"),IF(AND(COUNTIFS(TBHPS[Strand],$B39,TBHPS[QET],N$11)&gt;0,$D39),TRUE,FALSE),FALSE))))</f>
        <v>0</v>
      </c>
      <c r="O39" s="99" t="b">
        <f>IF(AND(teacher_type="R",career_stage="P"),IF(AND(COUNTIFS(RPS[Strand],$B39,RPS[QET],O$11)&gt;0,$D39),TRUE,FALSE),IF(AND(teacher_type="R",career_stage="HP"),IF(AND(COUNTIFS(RHPS[Strand],$B39,RHPS[QET],O$11)&gt;0,$D39),TRUE,FALSE), IF(AND(teacher_type="TB",career_stage="P"),IF(AND(COUNTIFS(TBPS[Strand],$B39,TBPS[QET],O$11)&gt;0,$D39),TRUE,FALSE), IF(AND(teacher_type="TB",career_stage="HP"),IF(AND(COUNTIFS(TBHPS[Strand],$B39,TBHPS[QET],O$11)&gt;0,$D39),TRUE,FALSE),FALSE))))</f>
        <v>0</v>
      </c>
      <c r="P39" s="710"/>
      <c r="Q39" s="685" t="str">
        <f>IFERROR(IF(E39,IF(C39="Plus Factor","Plus Factor",C39 &amp; ". " &amp; INDEX(Domains[Domain],MATCH(C39,Domains[Domain_code],0),1)),""),"")</f>
        <v/>
      </c>
      <c r="R39" s="663" t="str">
        <f>IFERROR(IF($F39,$I39 &amp; ". " &amp; IF(AND(career_stage="P",teacher_type="R"), INDEX(RPI[PPST Indicators],MATCH($B39,RPI[Strand],0),1), IF(AND(career_stage="HP",teacher_type="R"),INDEX(RHPI[PPST Indicators],MATCH($B39,RHPI[Strand],0),1), IF(AND(career_stage="P",teacher_type="TB"),INDEX(TBPI[PPST Indicators],MATCH($B39,TBPI[Strand],0),1), IF(AND(career_stage="HP",teacher_type="TB"),INDEX(TBHPI[PPST Indicators],MATCH($B39,TBHPI[Strand],0),1),"")))) &amp; IF(NOT(TRIM(LOWER($C39))="plus factor")," (PPST "&amp;B39&amp;")",""),""),"")</f>
        <v/>
      </c>
      <c r="S39" s="664" t="str" cm="1">
        <f t="array" ref="S39">demographics[rating_period]</f>
        <v>SY 2023-2024</v>
      </c>
      <c r="T39" s="684">
        <f>IFERROR(IF(AND(career_stage="P",teacher_type="R"),VLOOKUP(B39,RPI[],COLUMNS(RPI[[Strand]:[Weight]]),FALSE), IF(AND(career_stage="HP",teacher_type="R"),VLOOKUP(B39,RHPI[],COLUMNS(RHPI[[Strand]:[Weight]]),FALSE), IF(AND(career_stage="P",teacher_type="TB"),VLOOKUP(B39,TBPI[],COLUMNS(TBPI[[Strand]:[Weight]]),FALSE), IF(AND(career_stage="HP",teacher_type="TB"),VLOOKUP(B39,TBHPI[],COLUMNS(TBHPI[[Strand]:[Weight]]),FALSE),0)))),0)</f>
        <v>0</v>
      </c>
      <c r="U39" s="94" t="s">
        <v>1185</v>
      </c>
      <c r="V39" s="391" t="str">
        <f ca="1">IFERROR(IF($M39,IF(AND(career_stage="P",teacher_type="R"),INDEX(INDIRECT("RPS["&amp;V$10&amp;"]"),MATCH($H39,RPS[helper],0),1), IF(AND(career_stage="HP",teacher_type="R"), INDEX(INDIRECT("RHPS["&amp;V$10&amp;"]"),MATCH($H39,RHPS[helper],0),1), IF(AND(career_stage="P",teacher_type="TB"),INDEX(INDIRECT("TBPS["&amp;V$10&amp;"]"),MATCH($H39,TBPS[helper],0),1), IF(AND(career_stage="HP",teacher_type="TB"),INDEX(INDIRECT("TBHPS["&amp;V$10&amp;"]"),MATCH($H39,TBHPS[helper],0),1),"")))),""),"")</f>
        <v/>
      </c>
      <c r="W39" s="391" t="str">
        <f ca="1">IFERROR(IF($M39,IF(AND(career_stage="P",teacher_type="R"),INDEX(INDIRECT("RPS["&amp;W$10&amp;"]"),MATCH($H39,RPS[helper],0),1), IF(AND(career_stage="HP",teacher_type="R"), INDEX(INDIRECT("RHPS["&amp;W$10&amp;"]"),MATCH($H39,RHPS[helper],0),1), IF(AND(career_stage="P",teacher_type="TB"),INDEX(INDIRECT("TBPS["&amp;W$10&amp;"]"),MATCH($H39,TBPS[helper],0),1), IF(AND(career_stage="HP",teacher_type="TB"),INDEX(INDIRECT("TBHPS["&amp;W$10&amp;"]"),MATCH($H39,TBHPS[helper],0),1),"")))),""),"")</f>
        <v/>
      </c>
      <c r="X39" s="391" t="str">
        <f ca="1">IFERROR(IF($M39,IF(AND(career_stage="P",teacher_type="R"),INDEX(INDIRECT("RPS["&amp;X$10&amp;"]"),MATCH($H39,RPS[helper],0),1), IF(AND(career_stage="HP",teacher_type="R"), INDEX(INDIRECT("RHPS["&amp;X$10&amp;"]"),MATCH($H39,RHPS[helper],0),1), IF(AND(career_stage="P",teacher_type="TB"),INDEX(INDIRECT("TBPS["&amp;X$10&amp;"]"),MATCH($H39,TBPS[helper],0),1), IF(AND(career_stage="HP",teacher_type="TB"),INDEX(INDIRECT("TBHPS["&amp;X$10&amp;"]"),MATCH($H39,TBHPS[helper],0),1),"")))),""),"")</f>
        <v/>
      </c>
      <c r="Y39" s="391" t="str">
        <f ca="1">IFERROR(IF($M39,IF(AND(career_stage="P",teacher_type="R"),INDEX(INDIRECT("RPS["&amp;Y$10&amp;"]"),MATCH($H39,RPS[helper],0),1), IF(AND(career_stage="HP",teacher_type="R"), INDEX(INDIRECT("RHPS["&amp;Y$10&amp;"]"),MATCH($H39,RHPS[helper],0),1), IF(AND(career_stage="P",teacher_type="TB"),INDEX(INDIRECT("TBPS["&amp;Y$10&amp;"]"),MATCH($H39,TBPS[helper],0),1), IF(AND(career_stage="HP",teacher_type="TB"),INDEX(INDIRECT("TBHPS["&amp;Y$10&amp;"]"),MATCH($H39,TBHPS[helper],0),1),"")))),""),"")</f>
        <v/>
      </c>
      <c r="Z39" s="391" t="str">
        <f ca="1">IFERROR(IF($M39,IF(AND(career_stage="P",teacher_type="R"),INDEX(INDIRECT("RPS["&amp;Z$10&amp;"]"),MATCH($H39,RPS[helper],0),1), IF(AND(career_stage="HP",teacher_type="R"), INDEX(INDIRECT("RHPS["&amp;Z$10&amp;"]"),MATCH($H39,RHPS[helper],0),1), IF(AND(career_stage="P",teacher_type="TB"),INDEX(INDIRECT("TBPS["&amp;Z$10&amp;"]"),MATCH($H39,TBPS[helper],0),1), IF(AND(career_stage="HP",teacher_type="TB"),INDEX(INDIRECT("TBHPS["&amp;Z$10&amp;"]"),MATCH($H39,TBHPS[helper],0),1),"")))),""),"")</f>
        <v/>
      </c>
      <c r="AA39" s="392" t="str" cm="1">
        <f t="array" ref="AA39">IFERROR(INDEX(V39:Z39,6-AB39),"")</f>
        <v/>
      </c>
      <c r="AB39" s="680" t="str">
        <f>IF('Encoding Part 1'!AB31="","",'Encoding Part 1'!AB31)</f>
        <v/>
      </c>
      <c r="AC39" s="680" t="str">
        <f>IF('Encoding Part 1'!AC31="","",'Encoding Part 1'!AC31)</f>
        <v/>
      </c>
      <c r="AD39" s="680" t="str">
        <f>IF('Encoding Part 1'!AD31="","",'Encoding Part 1'!AD31)</f>
        <v/>
      </c>
      <c r="AE39" s="682">
        <f t="shared" ref="AE39" si="17">IFERROR(ROUNDDOWN(AVERAGE($AB39:$AD39),3),0)</f>
        <v>0</v>
      </c>
      <c r="AF39" s="661">
        <f t="shared" ref="AF39" si="18">ROUNDDOWN($AE39*$T39,3)</f>
        <v>0</v>
      </c>
      <c r="AG39" s="5"/>
    </row>
    <row r="40" spans="1:33" hidden="1" x14ac:dyDescent="0.25">
      <c r="A40" s="92">
        <v>10</v>
      </c>
      <c r="B40" s="99" t="str" cm="1">
        <f t="array" ref="B40">IFERROR(IF(AND(teacher_type="R",career_stage="P"),INDEX(RPI[Strand],$A40),IF(AND(teacher_type="R",career_stage="HP"),INDEX(RHPI[Strand],$A40), IF(AND(teacher_type="TB",career_stage="P"),INDEX(TBPI[Strand],$A40), IF(AND(teacher_type="TB",career_stage="HP"),INDEX(TBHPI[Strand],$A40),0)))),0)</f>
        <v>2.3.2</v>
      </c>
      <c r="C40" s="99">
        <f>IFERROR(IF(AND(teacher_type="R",career_stage="P"),VLOOKUP($B40,RPI[[Strand]:[Domain]],COLUMNS(RPI[[Strand]:[Domain]]),FALSE), IF(AND(teacher_type="R",career_stage="HP"),VLOOKUP($B40,RHPI[[Strand]:[Domain]],COLUMNS(RHPI[[Strand]:[Domain]]),FALSE), IF(AND(teacher_type="TB",career_stage="P"),VLOOKUP($B40,TBPI[[Strand]:[Domain]],COLUMNS(TBPI[[Strand]:[Domain]]),FALSE), IF(AND(teacher_type="TB",career_stage="HP"),VLOOKUP($B40,TBHPI[[Strand]:[Domain]],COLUMNS(TBHPI[[Strand]:[Domain]]),FALSE),"")))),"")</f>
        <v>2</v>
      </c>
      <c r="D40" s="99" t="b">
        <f>IFERROR(IF(AND(career_stage="P",teacher_type="R"),VLOOKUP(B40,RPI[],COLUMNS(RPI[[Strand]:[Selected]]),FALSE), IF(AND(career_stage="HP",teacher_type="R"),VLOOKUP(B40,RHPI[],COLUMNS(RHPI[[Strand]:[Selected]]),FALSE), IF(AND(career_stage="P",teacher_type="TB"),VLOOKUP(B40,TBPI[],COLUMNS(TBPI[[Strand]:[Selected]]),FALSE), IF(AND(career_stage="HP",teacher_type="TB"),VLOOKUP(B40,TBHPI[],COLUMNS(TBHPI[[Strand]:[Selected]]),FALSE),FALSE)))),FALSE)</f>
        <v>0</v>
      </c>
      <c r="E40" s="92" t="b">
        <f>COUNTIFS($C$12:$C40,C40,$D$12:$D40,TRUE)=1</f>
        <v>0</v>
      </c>
      <c r="F40" s="92" t="b">
        <f>COUNTIFS($C$12:$C40,$C40,$B$12:$B40,$B40,$D$12:$D40,TRUE)=1</f>
        <v>0</v>
      </c>
      <c r="G40" s="99">
        <f>IF($F40,COUNTIFS($C$12:$C40,C40,$F$12:$F40,TRUE),0)</f>
        <v>0</v>
      </c>
      <c r="H40" s="99" t="str">
        <f t="shared" si="0"/>
        <v>2.3.2-E</v>
      </c>
      <c r="I40" s="99">
        <f>IF(AND(D40,NOT($A40=$A39)),(COUNTIF($D$11:$D39,TRUE)/3)+1,0)</f>
        <v>0</v>
      </c>
      <c r="J40" s="99" t="s">
        <v>1073</v>
      </c>
      <c r="K40" s="99" t="b">
        <f>IF(AND(teacher_type="R",career_stage="P"),IF(AND(COUNTIFS(RPS[Strand],$B40,RPS[QET],$J40)&gt;0,$D40),TRUE,FALSE), IF(AND(teacher_type="R",career_stage="HP"),IF(AND(COUNTIFS(RHPS[Strand],$B40,RHPS[QET],$J40)&gt;0,$D40),TRUE,FALSE), IF(AND(teacher_type="TB",career_stage="P"),IF(AND(COUNTIFS(TBPS[Strand],$B40,TBPS[QET],$J40)&gt;0,$D40),TRUE,FALSE), IF(AND(teacher_type="TB",career_stage="HP"),IF(AND(COUNTIFS(TBHPS[Strand],$B40,TBHPS[QET],$J40)&gt;0,$D40),TRUE,FALSE),FALSE))))</f>
        <v>0</v>
      </c>
      <c r="L40" s="99" t="str">
        <f>IF($K40,IF(AND(teacher_type="R",career_stage="P"),VLOOKUP($B40,RPI[],COLUMNS(RPI[[Strand]:[user_selected_coi_ncoi]]),FALSE), IF(AND(teacher_type="R",career_stage="HP"),VLOOKUP($B40,RHPI[],COLUMNS(RHPI[[Strand]:[user_selected_coi_ncoi]]),FALSE), IF(AND(teacher_type="TB",career_stage="P"),VLOOKUP($B40,TBPI[],COLUMNS(TBPI[[Strand]:[user_selected_coi_ncoi]]),FALSE), IF(AND(teacher_type="TB",career_stage="HP"),VLOOKUP($B40,TBHPI[],COLUMNS(TBHPI[[Strand]:[user_selected_coi_ncoi]]),FALSE),"")))),"")</f>
        <v/>
      </c>
      <c r="M40" s="99" t="b">
        <f>IF(AND(teacher_type="R",career_stage="P"),IF(AND(COUNTIFS(RPS[Strand],$B40,RPS[QET],M$11)&gt;0,$D40),TRUE,FALSE),IF(AND(teacher_type="R",career_stage="HP"),IF(AND(COUNTIFS(RHPS[Strand],$B40,RHPS[QET],M$11)&gt;0,$D40),TRUE,FALSE), IF(AND(teacher_type="TB",career_stage="P"),IF(AND(COUNTIFS(TBPS[Strand],$B40,TBPS[QET],M$11)&gt;0,$D40),TRUE,FALSE), IF(AND(teacher_type="TB",career_stage="HP"),IF(AND(COUNTIFS(TBHPS[Strand],$B40,TBHPS[QET],M$11)&gt;0,$D40),TRUE,FALSE),FALSE))))</f>
        <v>0</v>
      </c>
      <c r="N40" s="99" t="b">
        <f>IF(AND(teacher_type="R",career_stage="P"),IF(AND(COUNTIFS(RPS[Strand],$B40,RPS[QET],N$11)&gt;0,$D40),TRUE,FALSE),IF(AND(teacher_type="R",career_stage="HP"),IF(AND(COUNTIFS(RHPS[Strand],$B40,RHPS[QET],N$11)&gt;0,$D40),TRUE,FALSE), IF(AND(teacher_type="TB",career_stage="P"),IF(AND(COUNTIFS(TBPS[Strand],$B40,TBPS[QET],N$11)&gt;0,$D40),TRUE,FALSE), IF(AND(teacher_type="TB",career_stage="HP"),IF(AND(COUNTIFS(TBHPS[Strand],$B40,TBHPS[QET],N$11)&gt;0,$D40),TRUE,FALSE),FALSE))))</f>
        <v>0</v>
      </c>
      <c r="O40" s="99" t="b">
        <f>IF(AND(teacher_type="R",career_stage="P"),IF(AND(COUNTIFS(RPS[Strand],$B40,RPS[QET],O$11)&gt;0,$D40),TRUE,FALSE),IF(AND(teacher_type="R",career_stage="HP"),IF(AND(COUNTIFS(RHPS[Strand],$B40,RHPS[QET],O$11)&gt;0,$D40),TRUE,FALSE), IF(AND(teacher_type="TB",career_stage="P"),IF(AND(COUNTIFS(TBPS[Strand],$B40,TBPS[QET],O$11)&gt;0,$D40),TRUE,FALSE), IF(AND(teacher_type="TB",career_stage="HP"),IF(AND(COUNTIFS(TBHPS[Strand],$B40,TBHPS[QET],O$11)&gt;0,$D40),TRUE,FALSE),FALSE))))</f>
        <v>0</v>
      </c>
      <c r="P40" s="710"/>
      <c r="Q40" s="686"/>
      <c r="R40" s="663"/>
      <c r="S40" s="664"/>
      <c r="T40" s="684"/>
      <c r="U40" s="94" t="s">
        <v>1186</v>
      </c>
      <c r="V40" s="391" t="str">
        <f ca="1">IFERROR(IF($N40,IF(AND(career_stage="P",teacher_type="R"),INDEX(INDIRECT("RPS["&amp;V$10&amp;"]"),MATCH($H40,RPS[helper],0),1), IF(AND(career_stage="HP",teacher_type="R"), INDEX(INDIRECT("RHPS["&amp;V$10&amp;"]"),MATCH($H40,RHPS[helper],0),1), IF(AND(career_stage="P",teacher_type="TB"),INDEX(INDIRECT("TBPS["&amp;V$10&amp;"]"),MATCH($H40,TBPS[helper],0),1), IF(AND(career_stage="HP",teacher_type="TB"),INDEX(INDIRECT("TBHPS["&amp;V$10&amp;"]"),MATCH($H40,TBHPS[helper],0),1),"")))),""),"")</f>
        <v/>
      </c>
      <c r="W40" s="391" t="str">
        <f ca="1">IFERROR(IF($N40,IF(AND(career_stage="P",teacher_type="R"),INDEX(INDIRECT("RPS["&amp;W$10&amp;"]"),MATCH($H40,RPS[helper],0),1), IF(AND(career_stage="HP",teacher_type="R"), INDEX(INDIRECT("RHPS["&amp;W$10&amp;"]"),MATCH($H40,RHPS[helper],0),1), IF(AND(career_stage="P",teacher_type="TB"),INDEX(INDIRECT("TBPS["&amp;W$10&amp;"]"),MATCH($H40,TBPS[helper],0),1), IF(AND(career_stage="HP",teacher_type="TB"),INDEX(INDIRECT("TBHPS["&amp;W$10&amp;"]"),MATCH($H40,TBHPS[helper],0),1),"")))),""),"")</f>
        <v/>
      </c>
      <c r="X40" s="391" t="str">
        <f ca="1">IFERROR(IF($N40,IF(AND(career_stage="P",teacher_type="R"),INDEX(INDIRECT("RPS["&amp;X$10&amp;"]"),MATCH($H40,RPS[helper],0),1), IF(AND(career_stage="HP",teacher_type="R"), INDEX(INDIRECT("RHPS["&amp;X$10&amp;"]"),MATCH($H40,RHPS[helper],0),1), IF(AND(career_stage="P",teacher_type="TB"),INDEX(INDIRECT("TBPS["&amp;X$10&amp;"]"),MATCH($H40,TBPS[helper],0),1), IF(AND(career_stage="HP",teacher_type="TB"),INDEX(INDIRECT("TBHPS["&amp;X$10&amp;"]"),MATCH($H40,TBHPS[helper],0),1),"")))),""),"")</f>
        <v/>
      </c>
      <c r="Y40" s="391" t="str">
        <f ca="1">IFERROR(IF($N40,IF(AND(career_stage="P",teacher_type="R"),INDEX(INDIRECT("RPS["&amp;Y$10&amp;"]"),MATCH($H40,RPS[helper],0),1), IF(AND(career_stage="HP",teacher_type="R"), INDEX(INDIRECT("RHPS["&amp;Y$10&amp;"]"),MATCH($H40,RHPS[helper],0),1), IF(AND(career_stage="P",teacher_type="TB"),INDEX(INDIRECT("TBPS["&amp;Y$10&amp;"]"),MATCH($H40,TBPS[helper],0),1), IF(AND(career_stage="HP",teacher_type="TB"),INDEX(INDIRECT("TBHPS["&amp;Y$10&amp;"]"),MATCH($H40,TBHPS[helper],0),1),"")))),""),"")</f>
        <v/>
      </c>
      <c r="Z40" s="391" t="str">
        <f ca="1">IFERROR(IF($N40,IF(AND(career_stage="P",teacher_type="R"),INDEX(INDIRECT("RPS["&amp;Z$10&amp;"]"),MATCH($H40,RPS[helper],0),1), IF(AND(career_stage="HP",teacher_type="R"), INDEX(INDIRECT("RHPS["&amp;Z$10&amp;"]"),MATCH($H40,RHPS[helper],0),1), IF(AND(career_stage="P",teacher_type="TB"),INDEX(INDIRECT("TBPS["&amp;Z$10&amp;"]"),MATCH($H40,TBPS[helper],0),1), IF(AND(career_stage="HP",teacher_type="TB"),INDEX(INDIRECT("TBHPS["&amp;Z$10&amp;"]"),MATCH($H40,TBHPS[helper],0),1),"")))),""),"")</f>
        <v/>
      </c>
      <c r="AA40" s="392" t="str" cm="1">
        <f t="array" ref="AA40">IFERROR(INDEX(V40:Z40,6-AC39),"")</f>
        <v/>
      </c>
      <c r="AB40" s="680"/>
      <c r="AC40" s="680"/>
      <c r="AD40" s="680"/>
      <c r="AE40" s="682"/>
      <c r="AF40" s="661"/>
      <c r="AG40" s="5"/>
    </row>
    <row r="41" spans="1:33" hidden="1" x14ac:dyDescent="0.25">
      <c r="A41" s="92">
        <v>10</v>
      </c>
      <c r="B41" s="99" t="str" cm="1">
        <f t="array" ref="B41">IFERROR(IF(AND(teacher_type="R",career_stage="P"),INDEX(RPI[Strand],$A41),IF(AND(teacher_type="R",career_stage="HP"),INDEX(RHPI[Strand],$A41), IF(AND(teacher_type="TB",career_stage="P"),INDEX(TBPI[Strand],$A41), IF(AND(teacher_type="TB",career_stage="HP"),INDEX(TBHPI[Strand],$A41),0)))),0)</f>
        <v>2.3.2</v>
      </c>
      <c r="C41" s="99">
        <f>IFERROR(IF(AND(teacher_type="R",career_stage="P"),VLOOKUP($B41,RPI[[Strand]:[Domain]],COLUMNS(RPI[[Strand]:[Domain]]),FALSE), IF(AND(teacher_type="R",career_stage="HP"),VLOOKUP($B41,RHPI[[Strand]:[Domain]],COLUMNS(RHPI[[Strand]:[Domain]]),FALSE), IF(AND(teacher_type="TB",career_stage="P"),VLOOKUP($B41,TBPI[[Strand]:[Domain]],COLUMNS(TBPI[[Strand]:[Domain]]),FALSE), IF(AND(teacher_type="TB",career_stage="HP"),VLOOKUP($B41,TBHPI[[Strand]:[Domain]],COLUMNS(TBHPI[[Strand]:[Domain]]),FALSE),"")))),"")</f>
        <v>2</v>
      </c>
      <c r="D41" s="99" t="b">
        <f>IFERROR(IF(AND(career_stage="P",teacher_type="R"),VLOOKUP(B41,RPI[],COLUMNS(RPI[[Strand]:[Selected]]),FALSE), IF(AND(career_stage="HP",teacher_type="R"),VLOOKUP(B41,RHPI[],COLUMNS(RHPI[[Strand]:[Selected]]),FALSE), IF(AND(career_stage="P",teacher_type="TB"),VLOOKUP(B41,TBPI[],COLUMNS(TBPI[[Strand]:[Selected]]),FALSE), IF(AND(career_stage="HP",teacher_type="TB"),VLOOKUP(B41,TBHPI[],COLUMNS(TBHPI[[Strand]:[Selected]]),FALSE),FALSE)))),FALSE)</f>
        <v>0</v>
      </c>
      <c r="E41" s="92" t="b">
        <f>COUNTIFS($C$12:$C41,C41,$D$12:$D41,TRUE)=1</f>
        <v>0</v>
      </c>
      <c r="F41" s="92" t="b">
        <f>COUNTIFS($C$12:$C41,$C41,$B$12:$B41,$B41,$D$12:$D41,TRUE)=1</f>
        <v>0</v>
      </c>
      <c r="G41" s="99">
        <f>IF($F41,COUNTIFS($C$12:$C41,C41,$F$12:$F41,TRUE),0)</f>
        <v>0</v>
      </c>
      <c r="H41" s="99" t="str">
        <f t="shared" si="0"/>
        <v>2.3.2-T</v>
      </c>
      <c r="I41" s="99">
        <f>IF(AND(D41,NOT($A41=$A40)),(COUNTIF($D$11:$D40,TRUE)/3)+1,0)</f>
        <v>0</v>
      </c>
      <c r="J41" s="99" t="s">
        <v>1014</v>
      </c>
      <c r="K41" s="99" t="b">
        <f>IF(AND(teacher_type="R",career_stage="P"),IF(AND(COUNTIFS(RPS[Strand],$B41,RPS[QET],$J41)&gt;0,$D41),TRUE,FALSE), IF(AND(teacher_type="R",career_stage="HP"),IF(AND(COUNTIFS(RHPS[Strand],$B41,RHPS[QET],$J41)&gt;0,$D41),TRUE,FALSE), IF(AND(teacher_type="TB",career_stage="P"),IF(AND(COUNTIFS(TBPS[Strand],$B41,TBPS[QET],$J41)&gt;0,$D41),TRUE,FALSE), IF(AND(teacher_type="TB",career_stage="HP"),IF(AND(COUNTIFS(TBHPS[Strand],$B41,TBHPS[QET],$J41)&gt;0,$D41),TRUE,FALSE),FALSE))))</f>
        <v>0</v>
      </c>
      <c r="L41" s="99" t="str">
        <f>IF($K41,IF(AND(teacher_type="R",career_stage="P"),VLOOKUP($B41,RPI[],COLUMNS(RPI[[Strand]:[user_selected_coi_ncoi]]),FALSE), IF(AND(teacher_type="R",career_stage="HP"),VLOOKUP($B41,RHPI[],COLUMNS(RHPI[[Strand]:[user_selected_coi_ncoi]]),FALSE), IF(AND(teacher_type="TB",career_stage="P"),VLOOKUP($B41,TBPI[],COLUMNS(TBPI[[Strand]:[user_selected_coi_ncoi]]),FALSE), IF(AND(teacher_type="TB",career_stage="HP"),VLOOKUP($B41,TBHPI[],COLUMNS(TBHPI[[Strand]:[user_selected_coi_ncoi]]),FALSE),"")))),"")</f>
        <v/>
      </c>
      <c r="M41" s="99" t="b">
        <f>IF(AND(teacher_type="R",career_stage="P"),IF(AND(COUNTIFS(RPS[Strand],$B41,RPS[QET],M$11)&gt;0,$D41),TRUE,FALSE),IF(AND(teacher_type="R",career_stage="HP"),IF(AND(COUNTIFS(RHPS[Strand],$B41,RHPS[QET],M$11)&gt;0,$D41),TRUE,FALSE), IF(AND(teacher_type="TB",career_stage="P"),IF(AND(COUNTIFS(TBPS[Strand],$B41,TBPS[QET],M$11)&gt;0,$D41),TRUE,FALSE), IF(AND(teacher_type="TB",career_stage="HP"),IF(AND(COUNTIFS(TBHPS[Strand],$B41,TBHPS[QET],M$11)&gt;0,$D41),TRUE,FALSE),FALSE))))</f>
        <v>0</v>
      </c>
      <c r="N41" s="99" t="b">
        <f>IF(AND(teacher_type="R",career_stage="P"),IF(AND(COUNTIFS(RPS[Strand],$B41,RPS[QET],N$11)&gt;0,$D41),TRUE,FALSE),IF(AND(teacher_type="R",career_stage="HP"),IF(AND(COUNTIFS(RHPS[Strand],$B41,RHPS[QET],N$11)&gt;0,$D41),TRUE,FALSE), IF(AND(teacher_type="TB",career_stage="P"),IF(AND(COUNTIFS(TBPS[Strand],$B41,TBPS[QET],N$11)&gt;0,$D41),TRUE,FALSE), IF(AND(teacher_type="TB",career_stage="HP"),IF(AND(COUNTIFS(TBHPS[Strand],$B41,TBHPS[QET],N$11)&gt;0,$D41),TRUE,FALSE),FALSE))))</f>
        <v>0</v>
      </c>
      <c r="O41" s="99" t="b">
        <f>IF(AND(teacher_type="R",career_stage="P"),IF(AND(COUNTIFS(RPS[Strand],$B41,RPS[QET],O$11)&gt;0,$D41),TRUE,FALSE),IF(AND(teacher_type="R",career_stage="HP"),IF(AND(COUNTIFS(RHPS[Strand],$B41,RHPS[QET],O$11)&gt;0,$D41),TRUE,FALSE), IF(AND(teacher_type="TB",career_stage="P"),IF(AND(COUNTIFS(TBPS[Strand],$B41,TBPS[QET],O$11)&gt;0,$D41),TRUE,FALSE), IF(AND(teacher_type="TB",career_stage="HP"),IF(AND(COUNTIFS(TBHPS[Strand],$B41,TBHPS[QET],O$11)&gt;0,$D41),TRUE,FALSE),FALSE))))</f>
        <v>0</v>
      </c>
      <c r="P41" s="710"/>
      <c r="Q41" s="687"/>
      <c r="R41" s="663"/>
      <c r="S41" s="664"/>
      <c r="T41" s="684"/>
      <c r="U41" s="94" t="s">
        <v>1187</v>
      </c>
      <c r="V41" s="391" t="str">
        <f ca="1">IFERROR(IF($O41,IF(AND(career_stage="P",teacher_type="R"),INDEX(INDIRECT("RPS["&amp;V$10&amp;"]"),MATCH($H41,RPS[helper],0),1), IF(AND(career_stage="HP",teacher_type="R"), INDEX(INDIRECT("RHPS["&amp;V$10&amp;"]"),MATCH($H41,RHPS[helper],0),1), IF(AND(career_stage="P",teacher_type="TB"),INDEX(INDIRECT("TBPS["&amp;V$10&amp;"]"),MATCH($H41,TBPS[helper],0),1), IF(AND(career_stage="HP",teacher_type="TB"),INDEX(INDIRECT("TBHPS["&amp;V$10&amp;"]"),MATCH($H41,TBHPS[helper],0),1),"")))),""),"")</f>
        <v/>
      </c>
      <c r="W41" s="391" t="str">
        <f ca="1">IFERROR(IF($O41,IF(AND(career_stage="P",teacher_type="R"),INDEX(INDIRECT("RPS["&amp;W$10&amp;"]"),MATCH($H41,RPS[helper],0),1), IF(AND(career_stage="HP",teacher_type="R"), INDEX(INDIRECT("RHPS["&amp;W$10&amp;"]"),MATCH($H41,RHPS[helper],0),1), IF(AND(career_stage="P",teacher_type="TB"),INDEX(INDIRECT("TBPS["&amp;W$10&amp;"]"),MATCH($H41,TBPS[helper],0),1), IF(AND(career_stage="HP",teacher_type="TB"),INDEX(INDIRECT("TBHPS["&amp;W$10&amp;"]"),MATCH($H41,TBHPS[helper],0),1),"")))),""),"")</f>
        <v/>
      </c>
      <c r="X41" s="391" t="str">
        <f ca="1">IFERROR(IF($O41,IF(AND(career_stage="P",teacher_type="R"),INDEX(INDIRECT("RPS["&amp;X$10&amp;"]"),MATCH($H41,RPS[helper],0),1), IF(AND(career_stage="HP",teacher_type="R"), INDEX(INDIRECT("RHPS["&amp;X$10&amp;"]"),MATCH($H41,RHPS[helper],0),1), IF(AND(career_stage="P",teacher_type="TB"),INDEX(INDIRECT("TBPS["&amp;X$10&amp;"]"),MATCH($H41,TBPS[helper],0),1), IF(AND(career_stage="HP",teacher_type="TB"),INDEX(INDIRECT("TBHPS["&amp;X$10&amp;"]"),MATCH($H41,TBHPS[helper],0),1),"")))),""),"")</f>
        <v/>
      </c>
      <c r="Y41" s="391" t="str">
        <f ca="1">IFERROR(IF($O41,IF(AND(career_stage="P",teacher_type="R"),INDEX(INDIRECT("RPS["&amp;Y$10&amp;"]"),MATCH($H41,RPS[helper],0),1), IF(AND(career_stage="HP",teacher_type="R"), INDEX(INDIRECT("RHPS["&amp;Y$10&amp;"]"),MATCH($H41,RHPS[helper],0),1), IF(AND(career_stage="P",teacher_type="TB"),INDEX(INDIRECT("TBPS["&amp;Y$10&amp;"]"),MATCH($H41,TBPS[helper],0),1), IF(AND(career_stage="HP",teacher_type="TB"),INDEX(INDIRECT("TBHPS["&amp;Y$10&amp;"]"),MATCH($H41,TBHPS[helper],0),1),"")))),""),"")</f>
        <v/>
      </c>
      <c r="Z41" s="391" t="str">
        <f ca="1">IFERROR(IF($O41,IF(AND(career_stage="P",teacher_type="R"),INDEX(INDIRECT("RPS["&amp;Z$10&amp;"]"),MATCH($H41,RPS[helper],0),1), IF(AND(career_stage="HP",teacher_type="R"), INDEX(INDIRECT("RHPS["&amp;Z$10&amp;"]"),MATCH($H41,RHPS[helper],0),1), IF(AND(career_stage="P",teacher_type="TB"),INDEX(INDIRECT("TBPS["&amp;Z$10&amp;"]"),MATCH($H41,TBPS[helper],0),1), IF(AND(career_stage="HP",teacher_type="TB"),INDEX(INDIRECT("TBHPS["&amp;Z$10&amp;"]"),MATCH($H41,TBHPS[helper],0),1),"")))),""),"")</f>
        <v/>
      </c>
      <c r="AA41" s="391" t="str" cm="1">
        <f t="array" ref="AA41">IFERROR(INDEX(V41:Z41,6-AD39),"")</f>
        <v/>
      </c>
      <c r="AB41" s="680"/>
      <c r="AC41" s="680"/>
      <c r="AD41" s="680"/>
      <c r="AE41" s="682"/>
      <c r="AF41" s="661"/>
      <c r="AG41" s="5"/>
    </row>
    <row r="42" spans="1:33" hidden="1" x14ac:dyDescent="0.25">
      <c r="A42" s="92">
        <v>11</v>
      </c>
      <c r="B42" s="99" t="str" cm="1">
        <f t="array" ref="B42">IFERROR(IF(AND(teacher_type="R",career_stage="P"),INDEX(RPI[Strand],$A42),IF(AND(teacher_type="R",career_stage="HP"),INDEX(RHPI[Strand],$A42), IF(AND(teacher_type="TB",career_stage="P"),INDEX(TBPI[Strand],$A42), IF(AND(teacher_type="TB",career_stage="HP"),INDEX(TBHPI[Strand],$A42),0)))),0)</f>
        <v>2.4.2</v>
      </c>
      <c r="C42" s="99">
        <f>IFERROR(IF(AND(teacher_type="R",career_stage="P"),VLOOKUP($B42,RPI[[Strand]:[Domain]],COLUMNS(RPI[[Strand]:[Domain]]),FALSE), IF(AND(teacher_type="R",career_stage="HP"),VLOOKUP($B42,RHPI[[Strand]:[Domain]],COLUMNS(RHPI[[Strand]:[Domain]]),FALSE), IF(AND(teacher_type="TB",career_stage="P"),VLOOKUP($B42,TBPI[[Strand]:[Domain]],COLUMNS(TBPI[[Strand]:[Domain]]),FALSE), IF(AND(teacher_type="TB",career_stage="HP"),VLOOKUP($B42,TBHPI[[Strand]:[Domain]],COLUMNS(TBHPI[[Strand]:[Domain]]),FALSE),"")))),"")</f>
        <v>2</v>
      </c>
      <c r="D42" s="99" t="b">
        <f>IFERROR(IF(AND(career_stage="P",teacher_type="R"),VLOOKUP(B42,RPI[],COLUMNS(RPI[[Strand]:[Selected]]),FALSE), IF(AND(career_stage="HP",teacher_type="R"),VLOOKUP(B42,RHPI[],COLUMNS(RHPI[[Strand]:[Selected]]),FALSE), IF(AND(career_stage="P",teacher_type="TB"),VLOOKUP(B42,TBPI[],COLUMNS(TBPI[[Strand]:[Selected]]),FALSE), IF(AND(career_stage="HP",teacher_type="TB"),VLOOKUP(B42,TBHPI[],COLUMNS(TBHPI[[Strand]:[Selected]]),FALSE),FALSE)))),FALSE)</f>
        <v>0</v>
      </c>
      <c r="E42" s="92" t="b">
        <f>COUNTIFS($C$12:$C42,C42,$D$12:$D42,TRUE)=1</f>
        <v>0</v>
      </c>
      <c r="F42" s="92" t="b">
        <f>COUNTIFS($C$12:$C42,$C42,$B$12:$B42,$B42,$D$12:$D42,TRUE)=1</f>
        <v>0</v>
      </c>
      <c r="G42" s="99">
        <f>IF($F42,COUNTIFS($C$12:$C42,C42,$F$12:$F42,TRUE),0)</f>
        <v>0</v>
      </c>
      <c r="H42" s="99" t="str">
        <f t="shared" si="0"/>
        <v>2.4.2-Q</v>
      </c>
      <c r="I42" s="99">
        <f>IF(AND(D42,NOT($A42=$A41)),(COUNTIF($D$11:$D41,TRUE)/3)+1,0)</f>
        <v>0</v>
      </c>
      <c r="J42" s="99" t="s">
        <v>1012</v>
      </c>
      <c r="K42" s="99" t="b">
        <f>IF(AND(teacher_type="R",career_stage="P"),IF(AND(COUNTIFS(RPS[Strand],$B42,RPS[QET],$J42)&gt;0,$D42),TRUE,FALSE), IF(AND(teacher_type="R",career_stage="HP"),IF(AND(COUNTIFS(RHPS[Strand],$B42,RHPS[QET],$J42)&gt;0,$D42),TRUE,FALSE), IF(AND(teacher_type="TB",career_stage="P"),IF(AND(COUNTIFS(TBPS[Strand],$B42,TBPS[QET],$J42)&gt;0,$D42),TRUE,FALSE), IF(AND(teacher_type="TB",career_stage="HP"),IF(AND(COUNTIFS(TBHPS[Strand],$B42,TBHPS[QET],$J42)&gt;0,$D42),TRUE,FALSE),FALSE))))</f>
        <v>0</v>
      </c>
      <c r="L42" s="99" t="str">
        <f>IF($K42,IF(AND(teacher_type="R",career_stage="P"),VLOOKUP($B42,RPI[],COLUMNS(RPI[[Strand]:[user_selected_coi_ncoi]]),FALSE), IF(AND(teacher_type="R",career_stage="HP"),VLOOKUP($B42,RHPI[],COLUMNS(RHPI[[Strand]:[user_selected_coi_ncoi]]),FALSE), IF(AND(teacher_type="TB",career_stage="P"),VLOOKUP($B42,TBPI[],COLUMNS(TBPI[[Strand]:[user_selected_coi_ncoi]]),FALSE), IF(AND(teacher_type="TB",career_stage="HP"),VLOOKUP($B42,TBHPI[],COLUMNS(TBHPI[[Strand]:[user_selected_coi_ncoi]]),FALSE),"")))),"")</f>
        <v/>
      </c>
      <c r="M42" s="99" t="b">
        <f>IF(AND(teacher_type="R",career_stage="P"),IF(AND(COUNTIFS(RPS[Strand],$B42,RPS[QET],M$11)&gt;0,$D42),TRUE,FALSE),IF(AND(teacher_type="R",career_stage="HP"),IF(AND(COUNTIFS(RHPS[Strand],$B42,RHPS[QET],M$11)&gt;0,$D42),TRUE,FALSE), IF(AND(teacher_type="TB",career_stage="P"),IF(AND(COUNTIFS(TBPS[Strand],$B42,TBPS[QET],M$11)&gt;0,$D42),TRUE,FALSE), IF(AND(teacher_type="TB",career_stage="HP"),IF(AND(COUNTIFS(TBHPS[Strand],$B42,TBHPS[QET],M$11)&gt;0,$D42),TRUE,FALSE),FALSE))))</f>
        <v>0</v>
      </c>
      <c r="N42" s="99" t="b">
        <f>IF(AND(teacher_type="R",career_stage="P"),IF(AND(COUNTIFS(RPS[Strand],$B42,RPS[QET],N$11)&gt;0,$D42),TRUE,FALSE),IF(AND(teacher_type="R",career_stage="HP"),IF(AND(COUNTIFS(RHPS[Strand],$B42,RHPS[QET],N$11)&gt;0,$D42),TRUE,FALSE), IF(AND(teacher_type="TB",career_stage="P"),IF(AND(COUNTIFS(TBPS[Strand],$B42,TBPS[QET],N$11)&gt;0,$D42),TRUE,FALSE), IF(AND(teacher_type="TB",career_stage="HP"),IF(AND(COUNTIFS(TBHPS[Strand],$B42,TBHPS[QET],N$11)&gt;0,$D42),TRUE,FALSE),FALSE))))</f>
        <v>0</v>
      </c>
      <c r="O42" s="99" t="b">
        <f>IF(AND(teacher_type="R",career_stage="P"),IF(AND(COUNTIFS(RPS[Strand],$B42,RPS[QET],O$11)&gt;0,$D42),TRUE,FALSE),IF(AND(teacher_type="R",career_stage="HP"),IF(AND(COUNTIFS(RHPS[Strand],$B42,RHPS[QET],O$11)&gt;0,$D42),TRUE,FALSE), IF(AND(teacher_type="TB",career_stage="P"),IF(AND(COUNTIFS(TBPS[Strand],$B42,TBPS[QET],O$11)&gt;0,$D42),TRUE,FALSE), IF(AND(teacher_type="TB",career_stage="HP"),IF(AND(COUNTIFS(TBHPS[Strand],$B42,TBHPS[QET],O$11)&gt;0,$D42),TRUE,FALSE),FALSE))))</f>
        <v>0</v>
      </c>
      <c r="P42" s="710"/>
      <c r="Q42" s="685" t="str">
        <f>IFERROR(IF(E42,IF(C42="Plus Factor","Plus Factor",C42 &amp; ". " &amp; INDEX(Domains[Domain],MATCH(C42,Domains[Domain_code],0),1)),""),"")</f>
        <v/>
      </c>
      <c r="R42" s="688" t="str">
        <f>IFERROR(IF($F42,$I42 &amp; ". " &amp; IF(AND(career_stage="P",teacher_type="R"), INDEX(RPI[PPST Indicators],MATCH($B42,RPI[Strand],0),1), IF(AND(career_stage="HP",teacher_type="R"),INDEX(RHPI[PPST Indicators],MATCH($B42,RHPI[Strand],0),1), IF(AND(career_stage="P",teacher_type="TB"),INDEX(TBPI[PPST Indicators],MATCH($B42,TBPI[Strand],0),1), IF(AND(career_stage="HP",teacher_type="TB"),INDEX(TBHPI[PPST Indicators],MATCH($B42,TBHPI[Strand],0),1),"")))) &amp; IF(NOT(TRIM(LOWER($C42))="plus factor")," (PPST "&amp;B42&amp;")",""),""),"")</f>
        <v/>
      </c>
      <c r="S42" s="664" t="str" cm="1">
        <f t="array" ref="S42">demographics[rating_period]</f>
        <v>SY 2023-2024</v>
      </c>
      <c r="T42" s="684">
        <f>IFERROR(IF(AND(career_stage="P",teacher_type="R"),VLOOKUP(B42,RPI[],COLUMNS(RPI[[Strand]:[Weight]]),FALSE), IF(AND(career_stage="HP",teacher_type="R"),VLOOKUP(B42,RHPI[],COLUMNS(RHPI[[Strand]:[Weight]]),FALSE), IF(AND(career_stage="P",teacher_type="TB"),VLOOKUP(B42,TBPI[],COLUMNS(TBPI[[Strand]:[Weight]]),FALSE), IF(AND(career_stage="HP",teacher_type="TB"),VLOOKUP(B42,TBHPI[],COLUMNS(TBHPI[[Strand]:[Weight]]),FALSE),0)))),0)</f>
        <v>0</v>
      </c>
      <c r="U42" s="94" t="s">
        <v>1185</v>
      </c>
      <c r="V42" s="391" t="str">
        <f ca="1">IFERROR(IF($M42,IF(AND(career_stage="P",teacher_type="R"),INDEX(INDIRECT("RPS["&amp;V$10&amp;"]"),MATCH($H42,RPS[helper],0),1), IF(AND(career_stage="HP",teacher_type="R"), INDEX(INDIRECT("RHPS["&amp;V$10&amp;"]"),MATCH($H42,RHPS[helper],0),1), IF(AND(career_stage="P",teacher_type="TB"),INDEX(INDIRECT("TBPS["&amp;V$10&amp;"]"),MATCH($H42,TBPS[helper],0),1), IF(AND(career_stage="HP",teacher_type="TB"),INDEX(INDIRECT("TBHPS["&amp;V$10&amp;"]"),MATCH($H42,TBHPS[helper],0),1),"")))),""),"")</f>
        <v/>
      </c>
      <c r="W42" s="391" t="str">
        <f ca="1">IFERROR(IF($M42,IF(AND(career_stage="P",teacher_type="R"),INDEX(INDIRECT("RPS["&amp;W$10&amp;"]"),MATCH($H42,RPS[helper],0),1), IF(AND(career_stage="HP",teacher_type="R"), INDEX(INDIRECT("RHPS["&amp;W$10&amp;"]"),MATCH($H42,RHPS[helper],0),1), IF(AND(career_stage="P",teacher_type="TB"),INDEX(INDIRECT("TBPS["&amp;W$10&amp;"]"),MATCH($H42,TBPS[helper],0),1), IF(AND(career_stage="HP",teacher_type="TB"),INDEX(INDIRECT("TBHPS["&amp;W$10&amp;"]"),MATCH($H42,TBHPS[helper],0),1),"")))),""),"")</f>
        <v/>
      </c>
      <c r="X42" s="391" t="str">
        <f ca="1">IFERROR(IF($M42,IF(AND(career_stage="P",teacher_type="R"),INDEX(INDIRECT("RPS["&amp;X$10&amp;"]"),MATCH($H42,RPS[helper],0),1), IF(AND(career_stage="HP",teacher_type="R"), INDEX(INDIRECT("RHPS["&amp;X$10&amp;"]"),MATCH($H42,RHPS[helper],0),1), IF(AND(career_stage="P",teacher_type="TB"),INDEX(INDIRECT("TBPS["&amp;X$10&amp;"]"),MATCH($H42,TBPS[helper],0),1), IF(AND(career_stage="HP",teacher_type="TB"),INDEX(INDIRECT("TBHPS["&amp;X$10&amp;"]"),MATCH($H42,TBHPS[helper],0),1),"")))),""),"")</f>
        <v/>
      </c>
      <c r="Y42" s="391" t="str">
        <f ca="1">IFERROR(IF($M42,IF(AND(career_stage="P",teacher_type="R"),INDEX(INDIRECT("RPS["&amp;Y$10&amp;"]"),MATCH($H42,RPS[helper],0),1), IF(AND(career_stage="HP",teacher_type="R"), INDEX(INDIRECT("RHPS["&amp;Y$10&amp;"]"),MATCH($H42,RHPS[helper],0),1), IF(AND(career_stage="P",teacher_type="TB"),INDEX(INDIRECT("TBPS["&amp;Y$10&amp;"]"),MATCH($H42,TBPS[helper],0),1), IF(AND(career_stage="HP",teacher_type="TB"),INDEX(INDIRECT("TBHPS["&amp;Y$10&amp;"]"),MATCH($H42,TBHPS[helper],0),1),"")))),""),"")</f>
        <v/>
      </c>
      <c r="Z42" s="391" t="str">
        <f ca="1">IFERROR(IF($M42,IF(AND(career_stage="P",teacher_type="R"),INDEX(INDIRECT("RPS["&amp;Z$10&amp;"]"),MATCH($H42,RPS[helper],0),1), IF(AND(career_stage="HP",teacher_type="R"), INDEX(INDIRECT("RHPS["&amp;Z$10&amp;"]"),MATCH($H42,RHPS[helper],0),1), IF(AND(career_stage="P",teacher_type="TB"),INDEX(INDIRECT("TBPS["&amp;Z$10&amp;"]"),MATCH($H42,TBPS[helper],0),1), IF(AND(career_stage="HP",teacher_type="TB"),INDEX(INDIRECT("TBHPS["&amp;Z$10&amp;"]"),MATCH($H42,TBHPS[helper],0),1),"")))),""),"")</f>
        <v/>
      </c>
      <c r="AA42" s="392" t="str" cm="1">
        <f t="array" ref="AA42">IFERROR(INDEX(V42:Z42,6-AB42),"")</f>
        <v/>
      </c>
      <c r="AB42" s="680" t="str">
        <f>IF('Encoding Part 1'!AB32="","",'Encoding Part 1'!AB32)</f>
        <v/>
      </c>
      <c r="AC42" s="680" t="str">
        <f>IF('Encoding Part 1'!AC32="","",'Encoding Part 1'!AC32)</f>
        <v/>
      </c>
      <c r="AD42" s="680" t="str">
        <f>IF('Encoding Part 1'!AD32="","",'Encoding Part 1'!AD32)</f>
        <v/>
      </c>
      <c r="AE42" s="682">
        <f t="shared" ref="AE42" si="19">IFERROR(ROUNDDOWN(AVERAGE($AB42:$AD42),3),0)</f>
        <v>0</v>
      </c>
      <c r="AF42" s="661">
        <f t="shared" ref="AF42" si="20">ROUNDDOWN($AE42*$T42,3)</f>
        <v>0</v>
      </c>
      <c r="AG42" s="5"/>
    </row>
    <row r="43" spans="1:33" hidden="1" x14ac:dyDescent="0.25">
      <c r="A43" s="92">
        <v>11</v>
      </c>
      <c r="B43" s="99" t="str" cm="1">
        <f t="array" ref="B43">IFERROR(IF(AND(teacher_type="R",career_stage="P"),INDEX(RPI[Strand],$A43),IF(AND(teacher_type="R",career_stage="HP"),INDEX(RHPI[Strand],$A43), IF(AND(teacher_type="TB",career_stage="P"),INDEX(TBPI[Strand],$A43), IF(AND(teacher_type="TB",career_stage="HP"),INDEX(TBHPI[Strand],$A43),0)))),0)</f>
        <v>2.4.2</v>
      </c>
      <c r="C43" s="99">
        <f>IFERROR(IF(AND(teacher_type="R",career_stage="P"),VLOOKUP($B43,RPI[[Strand]:[Domain]],COLUMNS(RPI[[Strand]:[Domain]]),FALSE), IF(AND(teacher_type="R",career_stage="HP"),VLOOKUP($B43,RHPI[[Strand]:[Domain]],COLUMNS(RHPI[[Strand]:[Domain]]),FALSE), IF(AND(teacher_type="TB",career_stage="P"),VLOOKUP($B43,TBPI[[Strand]:[Domain]],COLUMNS(TBPI[[Strand]:[Domain]]),FALSE), IF(AND(teacher_type="TB",career_stage="HP"),VLOOKUP($B43,TBHPI[[Strand]:[Domain]],COLUMNS(TBHPI[[Strand]:[Domain]]),FALSE),"")))),"")</f>
        <v>2</v>
      </c>
      <c r="D43" s="99" t="b">
        <f>IFERROR(IF(AND(career_stage="P",teacher_type="R"),VLOOKUP(B43,RPI[],COLUMNS(RPI[[Strand]:[Selected]]),FALSE), IF(AND(career_stage="HP",teacher_type="R"),VLOOKUP(B43,RHPI[],COLUMNS(RHPI[[Strand]:[Selected]]),FALSE), IF(AND(career_stage="P",teacher_type="TB"),VLOOKUP(B43,TBPI[],COLUMNS(TBPI[[Strand]:[Selected]]),FALSE), IF(AND(career_stage="HP",teacher_type="TB"),VLOOKUP(B43,TBHPI[],COLUMNS(TBHPI[[Strand]:[Selected]]),FALSE),FALSE)))),FALSE)</f>
        <v>0</v>
      </c>
      <c r="E43" s="92" t="b">
        <f>COUNTIFS($C$12:$C43,C43,$D$12:$D43,TRUE)=1</f>
        <v>0</v>
      </c>
      <c r="F43" s="92" t="b">
        <f>COUNTIFS($C$12:$C43,$C43,$B$12:$B43,$B43,$D$12:$D43,TRUE)=1</f>
        <v>0</v>
      </c>
      <c r="G43" s="99">
        <f>IF($F43,COUNTIFS($C$12:$C43,C43,$F$12:$F43,TRUE),0)</f>
        <v>0</v>
      </c>
      <c r="H43" s="99" t="str">
        <f t="shared" si="0"/>
        <v>2.4.2-E</v>
      </c>
      <c r="I43" s="99">
        <f>IF(AND(D43,NOT($A43=$A42)),(COUNTIF($D$11:$D42,TRUE)/3)+1,0)</f>
        <v>0</v>
      </c>
      <c r="J43" s="99" t="s">
        <v>1073</v>
      </c>
      <c r="K43" s="99" t="b">
        <f>IF(AND(teacher_type="R",career_stage="P"),IF(AND(COUNTIFS(RPS[Strand],$B43,RPS[QET],$J43)&gt;0,$D43),TRUE,FALSE), IF(AND(teacher_type="R",career_stage="HP"),IF(AND(COUNTIFS(RHPS[Strand],$B43,RHPS[QET],$J43)&gt;0,$D43),TRUE,FALSE), IF(AND(teacher_type="TB",career_stage="P"),IF(AND(COUNTIFS(TBPS[Strand],$B43,TBPS[QET],$J43)&gt;0,$D43),TRUE,FALSE), IF(AND(teacher_type="TB",career_stage="HP"),IF(AND(COUNTIFS(TBHPS[Strand],$B43,TBHPS[QET],$J43)&gt;0,$D43),TRUE,FALSE),FALSE))))</f>
        <v>0</v>
      </c>
      <c r="L43" s="99" t="str">
        <f>IF($K43,IF(AND(teacher_type="R",career_stage="P"),VLOOKUP($B43,RPI[],COLUMNS(RPI[[Strand]:[user_selected_coi_ncoi]]),FALSE), IF(AND(teacher_type="R",career_stage="HP"),VLOOKUP($B43,RHPI[],COLUMNS(RHPI[[Strand]:[user_selected_coi_ncoi]]),FALSE), IF(AND(teacher_type="TB",career_stage="P"),VLOOKUP($B43,TBPI[],COLUMNS(TBPI[[Strand]:[user_selected_coi_ncoi]]),FALSE), IF(AND(teacher_type="TB",career_stage="HP"),VLOOKUP($B43,TBHPI[],COLUMNS(TBHPI[[Strand]:[user_selected_coi_ncoi]]),FALSE),"")))),"")</f>
        <v/>
      </c>
      <c r="M43" s="99" t="b">
        <f>IF(AND(teacher_type="R",career_stage="P"),IF(AND(COUNTIFS(RPS[Strand],$B43,RPS[QET],M$11)&gt;0,$D43),TRUE,FALSE),IF(AND(teacher_type="R",career_stage="HP"),IF(AND(COUNTIFS(RHPS[Strand],$B43,RHPS[QET],M$11)&gt;0,$D43),TRUE,FALSE), IF(AND(teacher_type="TB",career_stage="P"),IF(AND(COUNTIFS(TBPS[Strand],$B43,TBPS[QET],M$11)&gt;0,$D43),TRUE,FALSE), IF(AND(teacher_type="TB",career_stage="HP"),IF(AND(COUNTIFS(TBHPS[Strand],$B43,TBHPS[QET],M$11)&gt;0,$D43),TRUE,FALSE),FALSE))))</f>
        <v>0</v>
      </c>
      <c r="N43" s="99" t="b">
        <f>IF(AND(teacher_type="R",career_stage="P"),IF(AND(COUNTIFS(RPS[Strand],$B43,RPS[QET],N$11)&gt;0,$D43),TRUE,FALSE),IF(AND(teacher_type="R",career_stage="HP"),IF(AND(COUNTIFS(RHPS[Strand],$B43,RHPS[QET],N$11)&gt;0,$D43),TRUE,FALSE), IF(AND(teacher_type="TB",career_stage="P"),IF(AND(COUNTIFS(TBPS[Strand],$B43,TBPS[QET],N$11)&gt;0,$D43),TRUE,FALSE), IF(AND(teacher_type="TB",career_stage="HP"),IF(AND(COUNTIFS(TBHPS[Strand],$B43,TBHPS[QET],N$11)&gt;0,$D43),TRUE,FALSE),FALSE))))</f>
        <v>0</v>
      </c>
      <c r="O43" s="99" t="b">
        <f>IF(AND(teacher_type="R",career_stage="P"),IF(AND(COUNTIFS(RPS[Strand],$B43,RPS[QET],O$11)&gt;0,$D43),TRUE,FALSE),IF(AND(teacher_type="R",career_stage="HP"),IF(AND(COUNTIFS(RHPS[Strand],$B43,RHPS[QET],O$11)&gt;0,$D43),TRUE,FALSE), IF(AND(teacher_type="TB",career_stage="P"),IF(AND(COUNTIFS(TBPS[Strand],$B43,TBPS[QET],O$11)&gt;0,$D43),TRUE,FALSE), IF(AND(teacher_type="TB",career_stage="HP"),IF(AND(COUNTIFS(TBHPS[Strand],$B43,TBHPS[QET],O$11)&gt;0,$D43),TRUE,FALSE),FALSE))))</f>
        <v>0</v>
      </c>
      <c r="P43" s="710"/>
      <c r="Q43" s="686"/>
      <c r="R43" s="688"/>
      <c r="S43" s="664"/>
      <c r="T43" s="684"/>
      <c r="U43" s="94" t="s">
        <v>1186</v>
      </c>
      <c r="V43" s="391" t="str">
        <f ca="1">IFERROR(IF($N43,IF(AND(career_stage="P",teacher_type="R"),INDEX(INDIRECT("RPS["&amp;V$10&amp;"]"),MATCH($H43,RPS[helper],0),1), IF(AND(career_stage="HP",teacher_type="R"), INDEX(INDIRECT("RHPS["&amp;V$10&amp;"]"),MATCH($H43,RHPS[helper],0),1), IF(AND(career_stage="P",teacher_type="TB"),INDEX(INDIRECT("TBPS["&amp;V$10&amp;"]"),MATCH($H43,TBPS[helper],0),1), IF(AND(career_stage="HP",teacher_type="TB"),INDEX(INDIRECT("TBHPS["&amp;V$10&amp;"]"),MATCH($H43,TBHPS[helper],0),1),"")))),""),"")</f>
        <v/>
      </c>
      <c r="W43" s="391" t="str">
        <f ca="1">IFERROR(IF($N43,IF(AND(career_stage="P",teacher_type="R"),INDEX(INDIRECT("RPS["&amp;W$10&amp;"]"),MATCH($H43,RPS[helper],0),1), IF(AND(career_stage="HP",teacher_type="R"), INDEX(INDIRECT("RHPS["&amp;W$10&amp;"]"),MATCH($H43,RHPS[helper],0),1), IF(AND(career_stage="P",teacher_type="TB"),INDEX(INDIRECT("TBPS["&amp;W$10&amp;"]"),MATCH($H43,TBPS[helper],0),1), IF(AND(career_stage="HP",teacher_type="TB"),INDEX(INDIRECT("TBHPS["&amp;W$10&amp;"]"),MATCH($H43,TBHPS[helper],0),1),"")))),""),"")</f>
        <v/>
      </c>
      <c r="X43" s="391" t="str">
        <f ca="1">IFERROR(IF($N43,IF(AND(career_stage="P",teacher_type="R"),INDEX(INDIRECT("RPS["&amp;X$10&amp;"]"),MATCH($H43,RPS[helper],0),1), IF(AND(career_stage="HP",teacher_type="R"), INDEX(INDIRECT("RHPS["&amp;X$10&amp;"]"),MATCH($H43,RHPS[helper],0),1), IF(AND(career_stage="P",teacher_type="TB"),INDEX(INDIRECT("TBPS["&amp;X$10&amp;"]"),MATCH($H43,TBPS[helper],0),1), IF(AND(career_stage="HP",teacher_type="TB"),INDEX(INDIRECT("TBHPS["&amp;X$10&amp;"]"),MATCH($H43,TBHPS[helper],0),1),"")))),""),"")</f>
        <v/>
      </c>
      <c r="Y43" s="391" t="str">
        <f ca="1">IFERROR(IF($N43,IF(AND(career_stage="P",teacher_type="R"),INDEX(INDIRECT("RPS["&amp;Y$10&amp;"]"),MATCH($H43,RPS[helper],0),1), IF(AND(career_stage="HP",teacher_type="R"), INDEX(INDIRECT("RHPS["&amp;Y$10&amp;"]"),MATCH($H43,RHPS[helper],0),1), IF(AND(career_stage="P",teacher_type="TB"),INDEX(INDIRECT("TBPS["&amp;Y$10&amp;"]"),MATCH($H43,TBPS[helper],0),1), IF(AND(career_stage="HP",teacher_type="TB"),INDEX(INDIRECT("TBHPS["&amp;Y$10&amp;"]"),MATCH($H43,TBHPS[helper],0),1),"")))),""),"")</f>
        <v/>
      </c>
      <c r="Z43" s="391" t="str">
        <f ca="1">IFERROR(IF($N43,IF(AND(career_stage="P",teacher_type="R"),INDEX(INDIRECT("RPS["&amp;Z$10&amp;"]"),MATCH($H43,RPS[helper],0),1), IF(AND(career_stage="HP",teacher_type="R"), INDEX(INDIRECT("RHPS["&amp;Z$10&amp;"]"),MATCH($H43,RHPS[helper],0),1), IF(AND(career_stage="P",teacher_type="TB"),INDEX(INDIRECT("TBPS["&amp;Z$10&amp;"]"),MATCH($H43,TBPS[helper],0),1), IF(AND(career_stage="HP",teacher_type="TB"),INDEX(INDIRECT("TBHPS["&amp;Z$10&amp;"]"),MATCH($H43,TBHPS[helper],0),1),"")))),""),"")</f>
        <v/>
      </c>
      <c r="AA43" s="392" t="str" cm="1">
        <f t="array" ref="AA43">IFERROR(INDEX(V43:Z43,6-AC42),"")</f>
        <v/>
      </c>
      <c r="AB43" s="680"/>
      <c r="AC43" s="680"/>
      <c r="AD43" s="680"/>
      <c r="AE43" s="682"/>
      <c r="AF43" s="661"/>
      <c r="AG43" s="5"/>
    </row>
    <row r="44" spans="1:33" hidden="1" x14ac:dyDescent="0.25">
      <c r="A44" s="92">
        <v>11</v>
      </c>
      <c r="B44" s="99" t="str" cm="1">
        <f t="array" ref="B44">IFERROR(IF(AND(teacher_type="R",career_stage="P"),INDEX(RPI[Strand],$A44),IF(AND(teacher_type="R",career_stage="HP"),INDEX(RHPI[Strand],$A44), IF(AND(teacher_type="TB",career_stage="P"),INDEX(TBPI[Strand],$A44), IF(AND(teacher_type="TB",career_stage="HP"),INDEX(TBHPI[Strand],$A44),0)))),0)</f>
        <v>2.4.2</v>
      </c>
      <c r="C44" s="99">
        <f>IFERROR(IF(AND(teacher_type="R",career_stage="P"),VLOOKUP($B44,RPI[[Strand]:[Domain]],COLUMNS(RPI[[Strand]:[Domain]]),FALSE), IF(AND(teacher_type="R",career_stage="HP"),VLOOKUP($B44,RHPI[[Strand]:[Domain]],COLUMNS(RHPI[[Strand]:[Domain]]),FALSE), IF(AND(teacher_type="TB",career_stage="P"),VLOOKUP($B44,TBPI[[Strand]:[Domain]],COLUMNS(TBPI[[Strand]:[Domain]]),FALSE), IF(AND(teacher_type="TB",career_stage="HP"),VLOOKUP($B44,TBHPI[[Strand]:[Domain]],COLUMNS(TBHPI[[Strand]:[Domain]]),FALSE),"")))),"")</f>
        <v>2</v>
      </c>
      <c r="D44" s="99" t="b">
        <f>IFERROR(IF(AND(career_stage="P",teacher_type="R"),VLOOKUP(B44,RPI[],COLUMNS(RPI[[Strand]:[Selected]]),FALSE), IF(AND(career_stage="HP",teacher_type="R"),VLOOKUP(B44,RHPI[],COLUMNS(RHPI[[Strand]:[Selected]]),FALSE), IF(AND(career_stage="P",teacher_type="TB"),VLOOKUP(B44,TBPI[],COLUMNS(TBPI[[Strand]:[Selected]]),FALSE), IF(AND(career_stage="HP",teacher_type="TB"),VLOOKUP(B44,TBHPI[],COLUMNS(TBHPI[[Strand]:[Selected]]),FALSE),FALSE)))),FALSE)</f>
        <v>0</v>
      </c>
      <c r="E44" s="92" t="b">
        <f>COUNTIFS($C$12:$C44,C44,$D$12:$D44,TRUE)=1</f>
        <v>0</v>
      </c>
      <c r="F44" s="92" t="b">
        <f>COUNTIFS($C$12:$C44,$C44,$B$12:$B44,$B44,$D$12:$D44,TRUE)=1</f>
        <v>0</v>
      </c>
      <c r="G44" s="99">
        <f>IF($F44,COUNTIFS($C$12:$C44,C44,$F$12:$F44,TRUE),0)</f>
        <v>0</v>
      </c>
      <c r="H44" s="99" t="str">
        <f t="shared" si="0"/>
        <v>2.4.2-T</v>
      </c>
      <c r="I44" s="99">
        <f>IF(AND(D44,NOT($A44=$A43)),(COUNTIF($D$11:$D43,TRUE)/3)+1,0)</f>
        <v>0</v>
      </c>
      <c r="J44" s="99" t="s">
        <v>1014</v>
      </c>
      <c r="K44" s="99" t="b">
        <f>IF(AND(teacher_type="R",career_stage="P"),IF(AND(COUNTIFS(RPS[Strand],$B44,RPS[QET],$J44)&gt;0,$D44),TRUE,FALSE), IF(AND(teacher_type="R",career_stage="HP"),IF(AND(COUNTIFS(RHPS[Strand],$B44,RHPS[QET],$J44)&gt;0,$D44),TRUE,FALSE), IF(AND(teacher_type="TB",career_stage="P"),IF(AND(COUNTIFS(TBPS[Strand],$B44,TBPS[QET],$J44)&gt;0,$D44),TRUE,FALSE), IF(AND(teacher_type="TB",career_stage="HP"),IF(AND(COUNTIFS(TBHPS[Strand],$B44,TBHPS[QET],$J44)&gt;0,$D44),TRUE,FALSE),FALSE))))</f>
        <v>0</v>
      </c>
      <c r="L44" s="99" t="str">
        <f>IF($K44,IF(AND(teacher_type="R",career_stage="P"),VLOOKUP($B44,RPI[],COLUMNS(RPI[[Strand]:[user_selected_coi_ncoi]]),FALSE), IF(AND(teacher_type="R",career_stage="HP"),VLOOKUP($B44,RHPI[],COLUMNS(RHPI[[Strand]:[user_selected_coi_ncoi]]),FALSE), IF(AND(teacher_type="TB",career_stage="P"),VLOOKUP($B44,TBPI[],COLUMNS(TBPI[[Strand]:[user_selected_coi_ncoi]]),FALSE), IF(AND(teacher_type="TB",career_stage="HP"),VLOOKUP($B44,TBHPI[],COLUMNS(TBHPI[[Strand]:[user_selected_coi_ncoi]]),FALSE),"")))),"")</f>
        <v/>
      </c>
      <c r="M44" s="99" t="b">
        <f>IF(AND(teacher_type="R",career_stage="P"),IF(AND(COUNTIFS(RPS[Strand],$B44,RPS[QET],M$11)&gt;0,$D44),TRUE,FALSE),IF(AND(teacher_type="R",career_stage="HP"),IF(AND(COUNTIFS(RHPS[Strand],$B44,RHPS[QET],M$11)&gt;0,$D44),TRUE,FALSE), IF(AND(teacher_type="TB",career_stage="P"),IF(AND(COUNTIFS(TBPS[Strand],$B44,TBPS[QET],M$11)&gt;0,$D44),TRUE,FALSE), IF(AND(teacher_type="TB",career_stage="HP"),IF(AND(COUNTIFS(TBHPS[Strand],$B44,TBHPS[QET],M$11)&gt;0,$D44),TRUE,FALSE),FALSE))))</f>
        <v>0</v>
      </c>
      <c r="N44" s="99" t="b">
        <f>IF(AND(teacher_type="R",career_stage="P"),IF(AND(COUNTIFS(RPS[Strand],$B44,RPS[QET],N$11)&gt;0,$D44),TRUE,FALSE),IF(AND(teacher_type="R",career_stage="HP"),IF(AND(COUNTIFS(RHPS[Strand],$B44,RHPS[QET],N$11)&gt;0,$D44),TRUE,FALSE), IF(AND(teacher_type="TB",career_stage="P"),IF(AND(COUNTIFS(TBPS[Strand],$B44,TBPS[QET],N$11)&gt;0,$D44),TRUE,FALSE), IF(AND(teacher_type="TB",career_stage="HP"),IF(AND(COUNTIFS(TBHPS[Strand],$B44,TBHPS[QET],N$11)&gt;0,$D44),TRUE,FALSE),FALSE))))</f>
        <v>0</v>
      </c>
      <c r="O44" s="99" t="b">
        <f>IF(AND(teacher_type="R",career_stage="P"),IF(AND(COUNTIFS(RPS[Strand],$B44,RPS[QET],O$11)&gt;0,$D44),TRUE,FALSE),IF(AND(teacher_type="R",career_stage="HP"),IF(AND(COUNTIFS(RHPS[Strand],$B44,RHPS[QET],O$11)&gt;0,$D44),TRUE,FALSE), IF(AND(teacher_type="TB",career_stage="P"),IF(AND(COUNTIFS(TBPS[Strand],$B44,TBPS[QET],O$11)&gt;0,$D44),TRUE,FALSE), IF(AND(teacher_type="TB",career_stage="HP"),IF(AND(COUNTIFS(TBHPS[Strand],$B44,TBHPS[QET],O$11)&gt;0,$D44),TRUE,FALSE),FALSE))))</f>
        <v>0</v>
      </c>
      <c r="P44" s="710"/>
      <c r="Q44" s="687"/>
      <c r="R44" s="688"/>
      <c r="S44" s="664"/>
      <c r="T44" s="684"/>
      <c r="U44" s="94" t="s">
        <v>1187</v>
      </c>
      <c r="V44" s="391" t="str">
        <f ca="1">IFERROR(IF($O44,IF(AND(career_stage="P",teacher_type="R"),INDEX(INDIRECT("RPS["&amp;V$10&amp;"]"),MATCH($H44,RPS[helper],0),1), IF(AND(career_stage="HP",teacher_type="R"), INDEX(INDIRECT("RHPS["&amp;V$10&amp;"]"),MATCH($H44,RHPS[helper],0),1), IF(AND(career_stage="P",teacher_type="TB"),INDEX(INDIRECT("TBPS["&amp;V$10&amp;"]"),MATCH($H44,TBPS[helper],0),1), IF(AND(career_stage="HP",teacher_type="TB"),INDEX(INDIRECT("TBHPS["&amp;V$10&amp;"]"),MATCH($H44,TBHPS[helper],0),1),"")))),""),"")</f>
        <v/>
      </c>
      <c r="W44" s="391" t="str">
        <f ca="1">IFERROR(IF($O44,IF(AND(career_stage="P",teacher_type="R"),INDEX(INDIRECT("RPS["&amp;W$10&amp;"]"),MATCH($H44,RPS[helper],0),1), IF(AND(career_stage="HP",teacher_type="R"), INDEX(INDIRECT("RHPS["&amp;W$10&amp;"]"),MATCH($H44,RHPS[helper],0),1), IF(AND(career_stage="P",teacher_type="TB"),INDEX(INDIRECT("TBPS["&amp;W$10&amp;"]"),MATCH($H44,TBPS[helper],0),1), IF(AND(career_stage="HP",teacher_type="TB"),INDEX(INDIRECT("TBHPS["&amp;W$10&amp;"]"),MATCH($H44,TBHPS[helper],0),1),"")))),""),"")</f>
        <v/>
      </c>
      <c r="X44" s="391" t="str">
        <f ca="1">IFERROR(IF($O44,IF(AND(career_stage="P",teacher_type="R"),INDEX(INDIRECT("RPS["&amp;X$10&amp;"]"),MATCH($H44,RPS[helper],0),1), IF(AND(career_stage="HP",teacher_type="R"), INDEX(INDIRECT("RHPS["&amp;X$10&amp;"]"),MATCH($H44,RHPS[helper],0),1), IF(AND(career_stage="P",teacher_type="TB"),INDEX(INDIRECT("TBPS["&amp;X$10&amp;"]"),MATCH($H44,TBPS[helper],0),1), IF(AND(career_stage="HP",teacher_type="TB"),INDEX(INDIRECT("TBHPS["&amp;X$10&amp;"]"),MATCH($H44,TBHPS[helper],0),1),"")))),""),"")</f>
        <v/>
      </c>
      <c r="Y44" s="391" t="str">
        <f ca="1">IFERROR(IF($O44,IF(AND(career_stage="P",teacher_type="R"),INDEX(INDIRECT("RPS["&amp;Y$10&amp;"]"),MATCH($H44,RPS[helper],0),1), IF(AND(career_stage="HP",teacher_type="R"), INDEX(INDIRECT("RHPS["&amp;Y$10&amp;"]"),MATCH($H44,RHPS[helper],0),1), IF(AND(career_stage="P",teacher_type="TB"),INDEX(INDIRECT("TBPS["&amp;Y$10&amp;"]"),MATCH($H44,TBPS[helper],0),1), IF(AND(career_stage="HP",teacher_type="TB"),INDEX(INDIRECT("TBHPS["&amp;Y$10&amp;"]"),MATCH($H44,TBHPS[helper],0),1),"")))),""),"")</f>
        <v/>
      </c>
      <c r="Z44" s="391" t="str">
        <f ca="1">IFERROR(IF($O44,IF(AND(career_stage="P",teacher_type="R"),INDEX(INDIRECT("RPS["&amp;Z$10&amp;"]"),MATCH($H44,RPS[helper],0),1), IF(AND(career_stage="HP",teacher_type="R"), INDEX(INDIRECT("RHPS["&amp;Z$10&amp;"]"),MATCH($H44,RHPS[helper],0),1), IF(AND(career_stage="P",teacher_type="TB"),INDEX(INDIRECT("TBPS["&amp;Z$10&amp;"]"),MATCH($H44,TBPS[helper],0),1), IF(AND(career_stage="HP",teacher_type="TB"),INDEX(INDIRECT("TBHPS["&amp;Z$10&amp;"]"),MATCH($H44,TBHPS[helper],0),1),"")))),""),"")</f>
        <v/>
      </c>
      <c r="AA44" s="392" t="str" cm="1">
        <f t="array" ref="AA44">IFERROR(INDEX(V44:Z44,6-AD42),"")</f>
        <v/>
      </c>
      <c r="AB44" s="680"/>
      <c r="AC44" s="680"/>
      <c r="AD44" s="680"/>
      <c r="AE44" s="682"/>
      <c r="AF44" s="661"/>
      <c r="AG44" s="5"/>
    </row>
    <row r="45" spans="1:33" hidden="1" x14ac:dyDescent="0.25">
      <c r="A45" s="92">
        <v>12</v>
      </c>
      <c r="B45" s="99" t="str" cm="1">
        <f t="array" ref="B45">IFERROR(IF(AND(teacher_type="R",career_stage="P"),INDEX(RPI[Strand],$A45),IF(AND(teacher_type="R",career_stage="HP"),INDEX(RHPI[Strand],$A45), IF(AND(teacher_type="TB",career_stage="P"),INDEX(TBPI[Strand],$A45), IF(AND(teacher_type="TB",career_stage="HP"),INDEX(TBHPI[Strand],$A45),0)))),0)</f>
        <v>2.5.2</v>
      </c>
      <c r="C45" s="99">
        <f>IFERROR(IF(AND(teacher_type="R",career_stage="P"),VLOOKUP($B45,RPI[[Strand]:[Domain]],COLUMNS(RPI[[Strand]:[Domain]]),FALSE), IF(AND(teacher_type="R",career_stage="HP"),VLOOKUP($B45,RHPI[[Strand]:[Domain]],COLUMNS(RHPI[[Strand]:[Domain]]),FALSE), IF(AND(teacher_type="TB",career_stage="P"),VLOOKUP($B45,TBPI[[Strand]:[Domain]],COLUMNS(TBPI[[Strand]:[Domain]]),FALSE), IF(AND(teacher_type="TB",career_stage="HP"),VLOOKUP($B45,TBHPI[[Strand]:[Domain]],COLUMNS(TBHPI[[Strand]:[Domain]]),FALSE),"")))),"")</f>
        <v>2</v>
      </c>
      <c r="D45" s="99" t="b">
        <f>IFERROR(IF(AND(career_stage="P",teacher_type="R"),VLOOKUP(B45,RPI[],COLUMNS(RPI[[Strand]:[Selected]]),FALSE), IF(AND(career_stage="HP",teacher_type="R"),VLOOKUP(B45,RHPI[],COLUMNS(RHPI[[Strand]:[Selected]]),FALSE), IF(AND(career_stage="P",teacher_type="TB"),VLOOKUP(B45,TBPI[],COLUMNS(TBPI[[Strand]:[Selected]]),FALSE), IF(AND(career_stage="HP",teacher_type="TB"),VLOOKUP(B45,TBHPI[],COLUMNS(TBHPI[[Strand]:[Selected]]),FALSE),FALSE)))),FALSE)</f>
        <v>0</v>
      </c>
      <c r="E45" s="92" t="b">
        <f>COUNTIFS($C$12:$C45,C45,$D$12:$D45,TRUE)=1</f>
        <v>0</v>
      </c>
      <c r="F45" s="92" t="b">
        <f>COUNTIFS($C$12:$C45,$C45,$B$12:$B45,$B45,$D$12:$D45,TRUE)=1</f>
        <v>0</v>
      </c>
      <c r="G45" s="99">
        <f>IF($F45,COUNTIFS($C$12:$C45,C45,$F$12:$F45,TRUE),0)</f>
        <v>0</v>
      </c>
      <c r="H45" s="99" t="str">
        <f t="shared" si="0"/>
        <v>2.5.2-Q</v>
      </c>
      <c r="I45" s="99">
        <f>IF(AND(D45,NOT($A45=$A44)),(COUNTIF($D$11:$D44,TRUE)/3)+1,0)</f>
        <v>0</v>
      </c>
      <c r="J45" s="99" t="s">
        <v>1012</v>
      </c>
      <c r="K45" s="99" t="b">
        <f>IF(AND(teacher_type="R",career_stage="P"),IF(AND(COUNTIFS(RPS[Strand],$B45,RPS[QET],$J45)&gt;0,$D45),TRUE,FALSE), IF(AND(teacher_type="R",career_stage="HP"),IF(AND(COUNTIFS(RHPS[Strand],$B45,RHPS[QET],$J45)&gt;0,$D45),TRUE,FALSE), IF(AND(teacher_type="TB",career_stage="P"),IF(AND(COUNTIFS(TBPS[Strand],$B45,TBPS[QET],$J45)&gt;0,$D45),TRUE,FALSE), IF(AND(teacher_type="TB",career_stage="HP"),IF(AND(COUNTIFS(TBHPS[Strand],$B45,TBHPS[QET],$J45)&gt;0,$D45),TRUE,FALSE),FALSE))))</f>
        <v>0</v>
      </c>
      <c r="L45" s="99" t="str">
        <f>IF($K45,IF(AND(teacher_type="R",career_stage="P"),VLOOKUP($B45,RPI[],COLUMNS(RPI[[Strand]:[user_selected_coi_ncoi]]),FALSE), IF(AND(teacher_type="R",career_stage="HP"),VLOOKUP($B45,RHPI[],COLUMNS(RHPI[[Strand]:[user_selected_coi_ncoi]]),FALSE), IF(AND(teacher_type="TB",career_stage="P"),VLOOKUP($B45,TBPI[],COLUMNS(TBPI[[Strand]:[user_selected_coi_ncoi]]),FALSE), IF(AND(teacher_type="TB",career_stage="HP"),VLOOKUP($B45,TBHPI[],COLUMNS(TBHPI[[Strand]:[user_selected_coi_ncoi]]),FALSE),"")))),"")</f>
        <v/>
      </c>
      <c r="M45" s="99" t="b">
        <f>IF(AND(teacher_type="R",career_stage="P"),IF(AND(COUNTIFS(RPS[Strand],$B45,RPS[QET],M$11)&gt;0,$D45),TRUE,FALSE),IF(AND(teacher_type="R",career_stage="HP"),IF(AND(COUNTIFS(RHPS[Strand],$B45,RHPS[QET],M$11)&gt;0,$D45),TRUE,FALSE), IF(AND(teacher_type="TB",career_stage="P"),IF(AND(COUNTIFS(TBPS[Strand],$B45,TBPS[QET],M$11)&gt;0,$D45),TRUE,FALSE), IF(AND(teacher_type="TB",career_stage="HP"),IF(AND(COUNTIFS(TBHPS[Strand],$B45,TBHPS[QET],M$11)&gt;0,$D45),TRUE,FALSE),FALSE))))</f>
        <v>0</v>
      </c>
      <c r="N45" s="99" t="b">
        <f>IF(AND(teacher_type="R",career_stage="P"),IF(AND(COUNTIFS(RPS[Strand],$B45,RPS[QET],N$11)&gt;0,$D45),TRUE,FALSE),IF(AND(teacher_type="R",career_stage="HP"),IF(AND(COUNTIFS(RHPS[Strand],$B45,RHPS[QET],N$11)&gt;0,$D45),TRUE,FALSE), IF(AND(teacher_type="TB",career_stage="P"),IF(AND(COUNTIFS(TBPS[Strand],$B45,TBPS[QET],N$11)&gt;0,$D45),TRUE,FALSE), IF(AND(teacher_type="TB",career_stage="HP"),IF(AND(COUNTIFS(TBHPS[Strand],$B45,TBHPS[QET],N$11)&gt;0,$D45),TRUE,FALSE),FALSE))))</f>
        <v>0</v>
      </c>
      <c r="O45" s="99" t="b">
        <f>IF(AND(teacher_type="R",career_stage="P"),IF(AND(COUNTIFS(RPS[Strand],$B45,RPS[QET],O$11)&gt;0,$D45),TRUE,FALSE),IF(AND(teacher_type="R",career_stage="HP"),IF(AND(COUNTIFS(RHPS[Strand],$B45,RHPS[QET],O$11)&gt;0,$D45),TRUE,FALSE), IF(AND(teacher_type="TB",career_stage="P"),IF(AND(COUNTIFS(TBPS[Strand],$B45,TBPS[QET],O$11)&gt;0,$D45),TRUE,FALSE), IF(AND(teacher_type="TB",career_stage="HP"),IF(AND(COUNTIFS(TBHPS[Strand],$B45,TBHPS[QET],O$11)&gt;0,$D45),TRUE,FALSE),FALSE))))</f>
        <v>0</v>
      </c>
      <c r="P45" s="710"/>
      <c r="Q45" s="685" t="str">
        <f>IFERROR(IF(E45,IF(C45="Plus Factor","Plus Factor",C45 &amp; ". " &amp; INDEX(Domains[Domain],MATCH(C45,Domains[Domain_code],0),1)),""),"")</f>
        <v/>
      </c>
      <c r="R45" s="663" t="str">
        <f>IFERROR(IF($F45,$I45 &amp; ". " &amp; IF(AND(career_stage="P",teacher_type="R"), INDEX(RPI[PPST Indicators],MATCH($B45,RPI[Strand],0),1), IF(AND(career_stage="HP",teacher_type="R"),INDEX(RHPI[PPST Indicators],MATCH($B45,RHPI[Strand],0),1), IF(AND(career_stage="P",teacher_type="TB"),INDEX(TBPI[PPST Indicators],MATCH($B45,TBPI[Strand],0),1), IF(AND(career_stage="HP",teacher_type="TB"),INDEX(TBHPI[PPST Indicators],MATCH($B45,TBHPI[Strand],0),1),"")))) &amp; IF(NOT(TRIM(LOWER($C45))="plus factor")," (PPST "&amp;B45&amp;")",""),""),"")</f>
        <v/>
      </c>
      <c r="S45" s="664" t="str" cm="1">
        <f t="array" ref="S45">demographics[rating_period]</f>
        <v>SY 2023-2024</v>
      </c>
      <c r="T45" s="684">
        <f>IFERROR(IF(AND(career_stage="P",teacher_type="R"),VLOOKUP(B45,RPI[],COLUMNS(RPI[[Strand]:[Weight]]),FALSE), IF(AND(career_stage="HP",teacher_type="R"),VLOOKUP(B45,RHPI[],COLUMNS(RHPI[[Strand]:[Weight]]),FALSE), IF(AND(career_stage="P",teacher_type="TB"),VLOOKUP(B45,TBPI[],COLUMNS(TBPI[[Strand]:[Weight]]),FALSE), IF(AND(career_stage="HP",teacher_type="TB"),VLOOKUP(B45,TBHPI[],COLUMNS(TBHPI[[Strand]:[Weight]]),FALSE),0)))),0)</f>
        <v>0</v>
      </c>
      <c r="U45" s="94" t="s">
        <v>1185</v>
      </c>
      <c r="V45" s="391" t="str">
        <f ca="1">IFERROR(IF($M45,IF(AND(career_stage="P",teacher_type="R"),INDEX(INDIRECT("RPS["&amp;V$10&amp;"]"),MATCH($H45,RPS[helper],0),1), IF(AND(career_stage="HP",teacher_type="R"), INDEX(INDIRECT("RHPS["&amp;V$10&amp;"]"),MATCH($H45,RHPS[helper],0),1), IF(AND(career_stage="P",teacher_type="TB"),INDEX(INDIRECT("TBPS["&amp;V$10&amp;"]"),MATCH($H45,TBPS[helper],0),1), IF(AND(career_stage="HP",teacher_type="TB"),INDEX(INDIRECT("TBHPS["&amp;V$10&amp;"]"),MATCH($H45,TBHPS[helper],0),1),"")))),""),"")</f>
        <v/>
      </c>
      <c r="W45" s="391" t="str">
        <f ca="1">IFERROR(IF($M45,IF(AND(career_stage="P",teacher_type="R"),INDEX(INDIRECT("RPS["&amp;W$10&amp;"]"),MATCH($H45,RPS[helper],0),1), IF(AND(career_stage="HP",teacher_type="R"), INDEX(INDIRECT("RHPS["&amp;W$10&amp;"]"),MATCH($H45,RHPS[helper],0),1), IF(AND(career_stage="P",teacher_type="TB"),INDEX(INDIRECT("TBPS["&amp;W$10&amp;"]"),MATCH($H45,TBPS[helper],0),1), IF(AND(career_stage="HP",teacher_type="TB"),INDEX(INDIRECT("TBHPS["&amp;W$10&amp;"]"),MATCH($H45,TBHPS[helper],0),1),"")))),""),"")</f>
        <v/>
      </c>
      <c r="X45" s="391" t="str">
        <f ca="1">IFERROR(IF($M45,IF(AND(career_stage="P",teacher_type="R"),INDEX(INDIRECT("RPS["&amp;X$10&amp;"]"),MATCH($H45,RPS[helper],0),1), IF(AND(career_stage="HP",teacher_type="R"), INDEX(INDIRECT("RHPS["&amp;X$10&amp;"]"),MATCH($H45,RHPS[helper],0),1), IF(AND(career_stage="P",teacher_type="TB"),INDEX(INDIRECT("TBPS["&amp;X$10&amp;"]"),MATCH($H45,TBPS[helper],0),1), IF(AND(career_stage="HP",teacher_type="TB"),INDEX(INDIRECT("TBHPS["&amp;X$10&amp;"]"),MATCH($H45,TBHPS[helper],0),1),"")))),""),"")</f>
        <v/>
      </c>
      <c r="Y45" s="391" t="str">
        <f ca="1">IFERROR(IF($M45,IF(AND(career_stage="P",teacher_type="R"),INDEX(INDIRECT("RPS["&amp;Y$10&amp;"]"),MATCH($H45,RPS[helper],0),1), IF(AND(career_stage="HP",teacher_type="R"), INDEX(INDIRECT("RHPS["&amp;Y$10&amp;"]"),MATCH($H45,RHPS[helper],0),1), IF(AND(career_stage="P",teacher_type="TB"),INDEX(INDIRECT("TBPS["&amp;Y$10&amp;"]"),MATCH($H45,TBPS[helper],0),1), IF(AND(career_stage="HP",teacher_type="TB"),INDEX(INDIRECT("TBHPS["&amp;Y$10&amp;"]"),MATCH($H45,TBHPS[helper],0),1),"")))),""),"")</f>
        <v/>
      </c>
      <c r="Z45" s="391" t="str">
        <f ca="1">IFERROR(IF($M45,IF(AND(career_stage="P",teacher_type="R"),INDEX(INDIRECT("RPS["&amp;Z$10&amp;"]"),MATCH($H45,RPS[helper],0),1), IF(AND(career_stage="HP",teacher_type="R"), INDEX(INDIRECT("RHPS["&amp;Z$10&amp;"]"),MATCH($H45,RHPS[helper],0),1), IF(AND(career_stage="P",teacher_type="TB"),INDEX(INDIRECT("TBPS["&amp;Z$10&amp;"]"),MATCH($H45,TBPS[helper],0),1), IF(AND(career_stage="HP",teacher_type="TB"),INDEX(INDIRECT("TBHPS["&amp;Z$10&amp;"]"),MATCH($H45,TBHPS[helper],0),1),"")))),""),"")</f>
        <v/>
      </c>
      <c r="AA45" s="392" t="str" cm="1">
        <f t="array" ref="AA45">IFERROR(INDEX(V45:Z45,6-AB45),"")</f>
        <v/>
      </c>
      <c r="AB45" s="680" t="str">
        <f>IF('Encoding Part 1'!AB33="","",'Encoding Part 1'!AB33)</f>
        <v/>
      </c>
      <c r="AC45" s="680" t="str">
        <f>IF('Encoding Part 1'!AC33="","",'Encoding Part 1'!AC33)</f>
        <v/>
      </c>
      <c r="AD45" s="680" t="str">
        <f>IF('Encoding Part 1'!AD33="","",'Encoding Part 1'!AD33)</f>
        <v/>
      </c>
      <c r="AE45" s="682">
        <f t="shared" ref="AE45" si="21">IFERROR(ROUNDDOWN(AVERAGE($AB45:$AD45),3),0)</f>
        <v>0</v>
      </c>
      <c r="AF45" s="661">
        <f t="shared" ref="AF45" si="22">ROUNDDOWN($AE45*$T45,3)</f>
        <v>0</v>
      </c>
      <c r="AG45" s="5"/>
    </row>
    <row r="46" spans="1:33" hidden="1" x14ac:dyDescent="0.25">
      <c r="A46" s="92">
        <v>12</v>
      </c>
      <c r="B46" s="99" t="str" cm="1">
        <f t="array" ref="B46">IFERROR(IF(AND(teacher_type="R",career_stage="P"),INDEX(RPI[Strand],$A46),IF(AND(teacher_type="R",career_stage="HP"),INDEX(RHPI[Strand],$A46), IF(AND(teacher_type="TB",career_stage="P"),INDEX(TBPI[Strand],$A46), IF(AND(teacher_type="TB",career_stage="HP"),INDEX(TBHPI[Strand],$A46),0)))),0)</f>
        <v>2.5.2</v>
      </c>
      <c r="C46" s="99">
        <f>IFERROR(IF(AND(teacher_type="R",career_stage="P"),VLOOKUP($B46,RPI[[Strand]:[Domain]],COLUMNS(RPI[[Strand]:[Domain]]),FALSE), IF(AND(teacher_type="R",career_stage="HP"),VLOOKUP($B46,RHPI[[Strand]:[Domain]],COLUMNS(RHPI[[Strand]:[Domain]]),FALSE), IF(AND(teacher_type="TB",career_stage="P"),VLOOKUP($B46,TBPI[[Strand]:[Domain]],COLUMNS(TBPI[[Strand]:[Domain]]),FALSE), IF(AND(teacher_type="TB",career_stage="HP"),VLOOKUP($B46,TBHPI[[Strand]:[Domain]],COLUMNS(TBHPI[[Strand]:[Domain]]),FALSE),"")))),"")</f>
        <v>2</v>
      </c>
      <c r="D46" s="99" t="b">
        <f>IFERROR(IF(AND(career_stage="P",teacher_type="R"),VLOOKUP(B46,RPI[],COLUMNS(RPI[[Strand]:[Selected]]),FALSE), IF(AND(career_stage="HP",teacher_type="R"),VLOOKUP(B46,RHPI[],COLUMNS(RHPI[[Strand]:[Selected]]),FALSE), IF(AND(career_stage="P",teacher_type="TB"),VLOOKUP(B46,TBPI[],COLUMNS(TBPI[[Strand]:[Selected]]),FALSE), IF(AND(career_stage="HP",teacher_type="TB"),VLOOKUP(B46,TBHPI[],COLUMNS(TBHPI[[Strand]:[Selected]]),FALSE),FALSE)))),FALSE)</f>
        <v>0</v>
      </c>
      <c r="E46" s="92" t="b">
        <f>COUNTIFS($C$12:$C46,C46,$D$12:$D46,TRUE)=1</f>
        <v>0</v>
      </c>
      <c r="F46" s="92" t="b">
        <f>COUNTIFS($C$12:$C46,$C46,$B$12:$B46,$B46,$D$12:$D46,TRUE)=1</f>
        <v>0</v>
      </c>
      <c r="G46" s="99">
        <f>IF($F46,COUNTIFS($C$12:$C46,C46,$F$12:$F46,TRUE),0)</f>
        <v>0</v>
      </c>
      <c r="H46" s="99" t="str">
        <f t="shared" si="0"/>
        <v>2.5.2-E</v>
      </c>
      <c r="I46" s="99">
        <f>IF(AND(D46,NOT($A46=$A45)),(COUNTIF($D$11:$D45,TRUE)/3)+1,0)</f>
        <v>0</v>
      </c>
      <c r="J46" s="99" t="s">
        <v>1073</v>
      </c>
      <c r="K46" s="99" t="b">
        <f>IF(AND(teacher_type="R",career_stage="P"),IF(AND(COUNTIFS(RPS[Strand],$B46,RPS[QET],$J46)&gt;0,$D46),TRUE,FALSE), IF(AND(teacher_type="R",career_stage="HP"),IF(AND(COUNTIFS(RHPS[Strand],$B46,RHPS[QET],$J46)&gt;0,$D46),TRUE,FALSE), IF(AND(teacher_type="TB",career_stage="P"),IF(AND(COUNTIFS(TBPS[Strand],$B46,TBPS[QET],$J46)&gt;0,$D46),TRUE,FALSE), IF(AND(teacher_type="TB",career_stage="HP"),IF(AND(COUNTIFS(TBHPS[Strand],$B46,TBHPS[QET],$J46)&gt;0,$D46),TRUE,FALSE),FALSE))))</f>
        <v>0</v>
      </c>
      <c r="L46" s="99" t="str">
        <f>IF($K46,IF(AND(teacher_type="R",career_stage="P"),VLOOKUP($B46,RPI[],COLUMNS(RPI[[Strand]:[user_selected_coi_ncoi]]),FALSE), IF(AND(teacher_type="R",career_stage="HP"),VLOOKUP($B46,RHPI[],COLUMNS(RHPI[[Strand]:[user_selected_coi_ncoi]]),FALSE), IF(AND(teacher_type="TB",career_stage="P"),VLOOKUP($B46,TBPI[],COLUMNS(TBPI[[Strand]:[user_selected_coi_ncoi]]),FALSE), IF(AND(teacher_type="TB",career_stage="HP"),VLOOKUP($B46,TBHPI[],COLUMNS(TBHPI[[Strand]:[user_selected_coi_ncoi]]),FALSE),"")))),"")</f>
        <v/>
      </c>
      <c r="M46" s="99" t="b">
        <f>IF(AND(teacher_type="R",career_stage="P"),IF(AND(COUNTIFS(RPS[Strand],$B46,RPS[QET],M$11)&gt;0,$D46),TRUE,FALSE),IF(AND(teacher_type="R",career_stage="HP"),IF(AND(COUNTIFS(RHPS[Strand],$B46,RHPS[QET],M$11)&gt;0,$D46),TRUE,FALSE), IF(AND(teacher_type="TB",career_stage="P"),IF(AND(COUNTIFS(TBPS[Strand],$B46,TBPS[QET],M$11)&gt;0,$D46),TRUE,FALSE), IF(AND(teacher_type="TB",career_stage="HP"),IF(AND(COUNTIFS(TBHPS[Strand],$B46,TBHPS[QET],M$11)&gt;0,$D46),TRUE,FALSE),FALSE))))</f>
        <v>0</v>
      </c>
      <c r="N46" s="99" t="b">
        <f>IF(AND(teacher_type="R",career_stage="P"),IF(AND(COUNTIFS(RPS[Strand],$B46,RPS[QET],N$11)&gt;0,$D46),TRUE,FALSE),IF(AND(teacher_type="R",career_stage="HP"),IF(AND(COUNTIFS(RHPS[Strand],$B46,RHPS[QET],N$11)&gt;0,$D46),TRUE,FALSE), IF(AND(teacher_type="TB",career_stage="P"),IF(AND(COUNTIFS(TBPS[Strand],$B46,TBPS[QET],N$11)&gt;0,$D46),TRUE,FALSE), IF(AND(teacher_type="TB",career_stage="HP"),IF(AND(COUNTIFS(TBHPS[Strand],$B46,TBHPS[QET],N$11)&gt;0,$D46),TRUE,FALSE),FALSE))))</f>
        <v>0</v>
      </c>
      <c r="O46" s="99" t="b">
        <f>IF(AND(teacher_type="R",career_stage="P"),IF(AND(COUNTIFS(RPS[Strand],$B46,RPS[QET],O$11)&gt;0,$D46),TRUE,FALSE),IF(AND(teacher_type="R",career_stage="HP"),IF(AND(COUNTIFS(RHPS[Strand],$B46,RHPS[QET],O$11)&gt;0,$D46),TRUE,FALSE), IF(AND(teacher_type="TB",career_stage="P"),IF(AND(COUNTIFS(TBPS[Strand],$B46,TBPS[QET],O$11)&gt;0,$D46),TRUE,FALSE), IF(AND(teacher_type="TB",career_stage="HP"),IF(AND(COUNTIFS(TBHPS[Strand],$B46,TBHPS[QET],O$11)&gt;0,$D46),TRUE,FALSE),FALSE))))</f>
        <v>0</v>
      </c>
      <c r="P46" s="710"/>
      <c r="Q46" s="686"/>
      <c r="R46" s="663"/>
      <c r="S46" s="664"/>
      <c r="T46" s="684"/>
      <c r="U46" s="94" t="s">
        <v>1186</v>
      </c>
      <c r="V46" s="391" t="str">
        <f ca="1">IFERROR(IF($N46,IF(AND(career_stage="P",teacher_type="R"),INDEX(INDIRECT("RPS["&amp;V$10&amp;"]"),MATCH($H46,RPS[helper],0),1), IF(AND(career_stage="HP",teacher_type="R"), INDEX(INDIRECT("RHPS["&amp;V$10&amp;"]"),MATCH($H46,RHPS[helper],0),1), IF(AND(career_stage="P",teacher_type="TB"),INDEX(INDIRECT("TBPS["&amp;V$10&amp;"]"),MATCH($H46,TBPS[helper],0),1), IF(AND(career_stage="HP",teacher_type="TB"),INDEX(INDIRECT("TBHPS["&amp;V$10&amp;"]"),MATCH($H46,TBHPS[helper],0),1),"")))),""),"")</f>
        <v/>
      </c>
      <c r="W46" s="391" t="str">
        <f ca="1">IFERROR(IF($N46,IF(AND(career_stage="P",teacher_type="R"),INDEX(INDIRECT("RPS["&amp;W$10&amp;"]"),MATCH($H46,RPS[helper],0),1), IF(AND(career_stage="HP",teacher_type="R"), INDEX(INDIRECT("RHPS["&amp;W$10&amp;"]"),MATCH($H46,RHPS[helper],0),1), IF(AND(career_stage="P",teacher_type="TB"),INDEX(INDIRECT("TBPS["&amp;W$10&amp;"]"),MATCH($H46,TBPS[helper],0),1), IF(AND(career_stage="HP",teacher_type="TB"),INDEX(INDIRECT("TBHPS["&amp;W$10&amp;"]"),MATCH($H46,TBHPS[helper],0),1),"")))),""),"")</f>
        <v/>
      </c>
      <c r="X46" s="391" t="str">
        <f ca="1">IFERROR(IF($N46,IF(AND(career_stage="P",teacher_type="R"),INDEX(INDIRECT("RPS["&amp;X$10&amp;"]"),MATCH($H46,RPS[helper],0),1), IF(AND(career_stage="HP",teacher_type="R"), INDEX(INDIRECT("RHPS["&amp;X$10&amp;"]"),MATCH($H46,RHPS[helper],0),1), IF(AND(career_stage="P",teacher_type="TB"),INDEX(INDIRECT("TBPS["&amp;X$10&amp;"]"),MATCH($H46,TBPS[helper],0),1), IF(AND(career_stage="HP",teacher_type="TB"),INDEX(INDIRECT("TBHPS["&amp;X$10&amp;"]"),MATCH($H46,TBHPS[helper],0),1),"")))),""),"")</f>
        <v/>
      </c>
      <c r="Y46" s="391" t="str">
        <f ca="1">IFERROR(IF($N46,IF(AND(career_stage="P",teacher_type="R"),INDEX(INDIRECT("RPS["&amp;Y$10&amp;"]"),MATCH($H46,RPS[helper],0),1), IF(AND(career_stage="HP",teacher_type="R"), INDEX(INDIRECT("RHPS["&amp;Y$10&amp;"]"),MATCH($H46,RHPS[helper],0),1), IF(AND(career_stage="P",teacher_type="TB"),INDEX(INDIRECT("TBPS["&amp;Y$10&amp;"]"),MATCH($H46,TBPS[helper],0),1), IF(AND(career_stage="HP",teacher_type="TB"),INDEX(INDIRECT("TBHPS["&amp;Y$10&amp;"]"),MATCH($H46,TBHPS[helper],0),1),"")))),""),"")</f>
        <v/>
      </c>
      <c r="Z46" s="391" t="str">
        <f ca="1">IFERROR(IF($N46,IF(AND(career_stage="P",teacher_type="R"),INDEX(INDIRECT("RPS["&amp;Z$10&amp;"]"),MATCH($H46,RPS[helper],0),1), IF(AND(career_stage="HP",teacher_type="R"), INDEX(INDIRECT("RHPS["&amp;Z$10&amp;"]"),MATCH($H46,RHPS[helper],0),1), IF(AND(career_stage="P",teacher_type="TB"),INDEX(INDIRECT("TBPS["&amp;Z$10&amp;"]"),MATCH($H46,TBPS[helper],0),1), IF(AND(career_stage="HP",teacher_type="TB"),INDEX(INDIRECT("TBHPS["&amp;Z$10&amp;"]"),MATCH($H46,TBHPS[helper],0),1),"")))),""),"")</f>
        <v/>
      </c>
      <c r="AA46" s="392" t="str" cm="1">
        <f t="array" ref="AA46">IFERROR(INDEX(V46:Z46,6-AC45),"")</f>
        <v/>
      </c>
      <c r="AB46" s="680"/>
      <c r="AC46" s="680"/>
      <c r="AD46" s="680"/>
      <c r="AE46" s="682"/>
      <c r="AF46" s="661"/>
      <c r="AG46" s="5"/>
    </row>
    <row r="47" spans="1:33" hidden="1" x14ac:dyDescent="0.25">
      <c r="A47" s="92">
        <v>12</v>
      </c>
      <c r="B47" s="99" t="str" cm="1">
        <f t="array" ref="B47">IFERROR(IF(AND(teacher_type="R",career_stage="P"),INDEX(RPI[Strand],$A47),IF(AND(teacher_type="R",career_stage="HP"),INDEX(RHPI[Strand],$A47), IF(AND(teacher_type="TB",career_stage="P"),INDEX(TBPI[Strand],$A47), IF(AND(teacher_type="TB",career_stage="HP"),INDEX(TBHPI[Strand],$A47),0)))),0)</f>
        <v>2.5.2</v>
      </c>
      <c r="C47" s="99">
        <f>IFERROR(IF(AND(teacher_type="R",career_stage="P"),VLOOKUP($B47,RPI[[Strand]:[Domain]],COLUMNS(RPI[[Strand]:[Domain]]),FALSE), IF(AND(teacher_type="R",career_stage="HP"),VLOOKUP($B47,RHPI[[Strand]:[Domain]],COLUMNS(RHPI[[Strand]:[Domain]]),FALSE), IF(AND(teacher_type="TB",career_stage="P"),VLOOKUP($B47,TBPI[[Strand]:[Domain]],COLUMNS(TBPI[[Strand]:[Domain]]),FALSE), IF(AND(teacher_type="TB",career_stage="HP"),VLOOKUP($B47,TBHPI[[Strand]:[Domain]],COLUMNS(TBHPI[[Strand]:[Domain]]),FALSE),"")))),"")</f>
        <v>2</v>
      </c>
      <c r="D47" s="99" t="b">
        <f>IFERROR(IF(AND(career_stage="P",teacher_type="R"),VLOOKUP(B47,RPI[],COLUMNS(RPI[[Strand]:[Selected]]),FALSE), IF(AND(career_stage="HP",teacher_type="R"),VLOOKUP(B47,RHPI[],COLUMNS(RHPI[[Strand]:[Selected]]),FALSE), IF(AND(career_stage="P",teacher_type="TB"),VLOOKUP(B47,TBPI[],COLUMNS(TBPI[[Strand]:[Selected]]),FALSE), IF(AND(career_stage="HP",teacher_type="TB"),VLOOKUP(B47,TBHPI[],COLUMNS(TBHPI[[Strand]:[Selected]]),FALSE),FALSE)))),FALSE)</f>
        <v>0</v>
      </c>
      <c r="E47" s="92" t="b">
        <f>COUNTIFS($C$12:$C47,C47,$D$12:$D47,TRUE)=1</f>
        <v>0</v>
      </c>
      <c r="F47" s="92" t="b">
        <f>COUNTIFS($C$12:$C47,$C47,$B$12:$B47,$B47,$D$12:$D47,TRUE)=1</f>
        <v>0</v>
      </c>
      <c r="G47" s="99">
        <f>IF($F47,COUNTIFS($C$12:$C47,C47,$F$12:$F47,TRUE),0)</f>
        <v>0</v>
      </c>
      <c r="H47" s="99" t="str">
        <f t="shared" si="0"/>
        <v>2.5.2-T</v>
      </c>
      <c r="I47" s="99">
        <f>IF(AND(D47,NOT($A47=$A46)),(COUNTIF($D$11:$D46,TRUE)/3)+1,0)</f>
        <v>0</v>
      </c>
      <c r="J47" s="99" t="s">
        <v>1014</v>
      </c>
      <c r="K47" s="99" t="b">
        <f>IF(AND(teacher_type="R",career_stage="P"),IF(AND(COUNTIFS(RPS[Strand],$B47,RPS[QET],$J47)&gt;0,$D47),TRUE,FALSE), IF(AND(teacher_type="R",career_stage="HP"),IF(AND(COUNTIFS(RHPS[Strand],$B47,RHPS[QET],$J47)&gt;0,$D47),TRUE,FALSE), IF(AND(teacher_type="TB",career_stage="P"),IF(AND(COUNTIFS(TBPS[Strand],$B47,TBPS[QET],$J47)&gt;0,$D47),TRUE,FALSE), IF(AND(teacher_type="TB",career_stage="HP"),IF(AND(COUNTIFS(TBHPS[Strand],$B47,TBHPS[QET],$J47)&gt;0,$D47),TRUE,FALSE),FALSE))))</f>
        <v>0</v>
      </c>
      <c r="L47" s="99" t="str">
        <f>IF($K47,IF(AND(teacher_type="R",career_stage="P"),VLOOKUP($B47,RPI[],COLUMNS(RPI[[Strand]:[user_selected_coi_ncoi]]),FALSE), IF(AND(teacher_type="R",career_stage="HP"),VLOOKUP($B47,RHPI[],COLUMNS(RHPI[[Strand]:[user_selected_coi_ncoi]]),FALSE), IF(AND(teacher_type="TB",career_stage="P"),VLOOKUP($B47,TBPI[],COLUMNS(TBPI[[Strand]:[user_selected_coi_ncoi]]),FALSE), IF(AND(teacher_type="TB",career_stage="HP"),VLOOKUP($B47,TBHPI[],COLUMNS(TBHPI[[Strand]:[user_selected_coi_ncoi]]),FALSE),"")))),"")</f>
        <v/>
      </c>
      <c r="M47" s="99" t="b">
        <f>IF(AND(teacher_type="R",career_stage="P"),IF(AND(COUNTIFS(RPS[Strand],$B47,RPS[QET],M$11)&gt;0,$D47),TRUE,FALSE),IF(AND(teacher_type="R",career_stage="HP"),IF(AND(COUNTIFS(RHPS[Strand],$B47,RHPS[QET],M$11)&gt;0,$D47),TRUE,FALSE), IF(AND(teacher_type="TB",career_stage="P"),IF(AND(COUNTIFS(TBPS[Strand],$B47,TBPS[QET],M$11)&gt;0,$D47),TRUE,FALSE), IF(AND(teacher_type="TB",career_stage="HP"),IF(AND(COUNTIFS(TBHPS[Strand],$B47,TBHPS[QET],M$11)&gt;0,$D47),TRUE,FALSE),FALSE))))</f>
        <v>0</v>
      </c>
      <c r="N47" s="99" t="b">
        <f>IF(AND(teacher_type="R",career_stage="P"),IF(AND(COUNTIFS(RPS[Strand],$B47,RPS[QET],N$11)&gt;0,$D47),TRUE,FALSE),IF(AND(teacher_type="R",career_stage="HP"),IF(AND(COUNTIFS(RHPS[Strand],$B47,RHPS[QET],N$11)&gt;0,$D47),TRUE,FALSE), IF(AND(teacher_type="TB",career_stage="P"),IF(AND(COUNTIFS(TBPS[Strand],$B47,TBPS[QET],N$11)&gt;0,$D47),TRUE,FALSE), IF(AND(teacher_type="TB",career_stage="HP"),IF(AND(COUNTIFS(TBHPS[Strand],$B47,TBHPS[QET],N$11)&gt;0,$D47),TRUE,FALSE),FALSE))))</f>
        <v>0</v>
      </c>
      <c r="O47" s="99" t="b">
        <f>IF(AND(teacher_type="R",career_stage="P"),IF(AND(COUNTIFS(RPS[Strand],$B47,RPS[QET],O$11)&gt;0,$D47),TRUE,FALSE),IF(AND(teacher_type="R",career_stage="HP"),IF(AND(COUNTIFS(RHPS[Strand],$B47,RHPS[QET],O$11)&gt;0,$D47),TRUE,FALSE), IF(AND(teacher_type="TB",career_stage="P"),IF(AND(COUNTIFS(TBPS[Strand],$B47,TBPS[QET],O$11)&gt;0,$D47),TRUE,FALSE), IF(AND(teacher_type="TB",career_stage="HP"),IF(AND(COUNTIFS(TBHPS[Strand],$B47,TBHPS[QET],O$11)&gt;0,$D47),TRUE,FALSE),FALSE))))</f>
        <v>0</v>
      </c>
      <c r="P47" s="710"/>
      <c r="Q47" s="687"/>
      <c r="R47" s="663"/>
      <c r="S47" s="664"/>
      <c r="T47" s="684"/>
      <c r="U47" s="94" t="s">
        <v>1187</v>
      </c>
      <c r="V47" s="391" t="str">
        <f ca="1">IFERROR(IF($O47,IF(AND(career_stage="P",teacher_type="R"),INDEX(INDIRECT("RPS["&amp;V$10&amp;"]"),MATCH($H47,RPS[helper],0),1), IF(AND(career_stage="HP",teacher_type="R"), INDEX(INDIRECT("RHPS["&amp;V$10&amp;"]"),MATCH($H47,RHPS[helper],0),1), IF(AND(career_stage="P",teacher_type="TB"),INDEX(INDIRECT("TBPS["&amp;V$10&amp;"]"),MATCH($H47,TBPS[helper],0),1), IF(AND(career_stage="HP",teacher_type="TB"),INDEX(INDIRECT("TBHPS["&amp;V$10&amp;"]"),MATCH($H47,TBHPS[helper],0),1),"")))),""),"")</f>
        <v/>
      </c>
      <c r="W47" s="391" t="str">
        <f ca="1">IFERROR(IF($O47,IF(AND(career_stage="P",teacher_type="R"),INDEX(INDIRECT("RPS["&amp;W$10&amp;"]"),MATCH($H47,RPS[helper],0),1), IF(AND(career_stage="HP",teacher_type="R"), INDEX(INDIRECT("RHPS["&amp;W$10&amp;"]"),MATCH($H47,RHPS[helper],0),1), IF(AND(career_stage="P",teacher_type="TB"),INDEX(INDIRECT("TBPS["&amp;W$10&amp;"]"),MATCH($H47,TBPS[helper],0),1), IF(AND(career_stage="HP",teacher_type="TB"),INDEX(INDIRECT("TBHPS["&amp;W$10&amp;"]"),MATCH($H47,TBHPS[helper],0),1),"")))),""),"")</f>
        <v/>
      </c>
      <c r="X47" s="391" t="str">
        <f ca="1">IFERROR(IF($O47,IF(AND(career_stage="P",teacher_type="R"),INDEX(INDIRECT("RPS["&amp;X$10&amp;"]"),MATCH($H47,RPS[helper],0),1), IF(AND(career_stage="HP",teacher_type="R"), INDEX(INDIRECT("RHPS["&amp;X$10&amp;"]"),MATCH($H47,RHPS[helper],0),1), IF(AND(career_stage="P",teacher_type="TB"),INDEX(INDIRECT("TBPS["&amp;X$10&amp;"]"),MATCH($H47,TBPS[helper],0),1), IF(AND(career_stage="HP",teacher_type="TB"),INDEX(INDIRECT("TBHPS["&amp;X$10&amp;"]"),MATCH($H47,TBHPS[helper],0),1),"")))),""),"")</f>
        <v/>
      </c>
      <c r="Y47" s="391" t="str">
        <f ca="1">IFERROR(IF($O47,IF(AND(career_stage="P",teacher_type="R"),INDEX(INDIRECT("RPS["&amp;Y$10&amp;"]"),MATCH($H47,RPS[helper],0),1), IF(AND(career_stage="HP",teacher_type="R"), INDEX(INDIRECT("RHPS["&amp;Y$10&amp;"]"),MATCH($H47,RHPS[helper],0),1), IF(AND(career_stage="P",teacher_type="TB"),INDEX(INDIRECT("TBPS["&amp;Y$10&amp;"]"),MATCH($H47,TBPS[helper],0),1), IF(AND(career_stage="HP",teacher_type="TB"),INDEX(INDIRECT("TBHPS["&amp;Y$10&amp;"]"),MATCH($H47,TBHPS[helper],0),1),"")))),""),"")</f>
        <v/>
      </c>
      <c r="Z47" s="391" t="str">
        <f ca="1">IFERROR(IF($O47,IF(AND(career_stage="P",teacher_type="R"),INDEX(INDIRECT("RPS["&amp;Z$10&amp;"]"),MATCH($H47,RPS[helper],0),1), IF(AND(career_stage="HP",teacher_type="R"), INDEX(INDIRECT("RHPS["&amp;Z$10&amp;"]"),MATCH($H47,RHPS[helper],0),1), IF(AND(career_stage="P",teacher_type="TB"),INDEX(INDIRECT("TBPS["&amp;Z$10&amp;"]"),MATCH($H47,TBPS[helper],0),1), IF(AND(career_stage="HP",teacher_type="TB"),INDEX(INDIRECT("TBHPS["&amp;Z$10&amp;"]"),MATCH($H47,TBHPS[helper],0),1),"")))),""),"")</f>
        <v/>
      </c>
      <c r="AA47" s="392" t="str" cm="1">
        <f t="array" ref="AA47">IFERROR(INDEX(V47:Z47,6-AD45),"")</f>
        <v/>
      </c>
      <c r="AB47" s="680"/>
      <c r="AC47" s="680"/>
      <c r="AD47" s="680"/>
      <c r="AE47" s="682"/>
      <c r="AF47" s="661"/>
      <c r="AG47" s="5"/>
    </row>
    <row r="48" spans="1:33" hidden="1" x14ac:dyDescent="0.25">
      <c r="A48" s="92">
        <v>13</v>
      </c>
      <c r="B48" s="99" t="str" cm="1">
        <f t="array" ref="B48">IFERROR(IF(AND(teacher_type="R",career_stage="P"),INDEX(RPI[Strand],$A48),IF(AND(teacher_type="R",career_stage="HP"),INDEX(RHPI[Strand],$A48), IF(AND(teacher_type="TB",career_stage="P"),INDEX(TBPI[Strand],$A48), IF(AND(teacher_type="TB",career_stage="HP"),INDEX(TBHPI[Strand],$A48),0)))),0)</f>
        <v>2.6.2</v>
      </c>
      <c r="C48" s="99">
        <f>IFERROR(IF(AND(teacher_type="R",career_stage="P"),VLOOKUP($B48,RPI[[Strand]:[Domain]],COLUMNS(RPI[[Strand]:[Domain]]),FALSE), IF(AND(teacher_type="R",career_stage="HP"),VLOOKUP($B48,RHPI[[Strand]:[Domain]],COLUMNS(RHPI[[Strand]:[Domain]]),FALSE), IF(AND(teacher_type="TB",career_stage="P"),VLOOKUP($B48,TBPI[[Strand]:[Domain]],COLUMNS(TBPI[[Strand]:[Domain]]),FALSE), IF(AND(teacher_type="TB",career_stage="HP"),VLOOKUP($B48,TBHPI[[Strand]:[Domain]],COLUMNS(TBHPI[[Strand]:[Domain]]),FALSE),"")))),"")</f>
        <v>2</v>
      </c>
      <c r="D48" s="99" t="b">
        <f>IFERROR(IF(AND(career_stage="P",teacher_type="R"),VLOOKUP(B48,RPI[],COLUMNS(RPI[[Strand]:[Selected]]),FALSE), IF(AND(career_stage="HP",teacher_type="R"),VLOOKUP(B48,RHPI[],COLUMNS(RHPI[[Strand]:[Selected]]),FALSE), IF(AND(career_stage="P",teacher_type="TB"),VLOOKUP(B48,TBPI[],COLUMNS(TBPI[[Strand]:[Selected]]),FALSE), IF(AND(career_stage="HP",teacher_type="TB"),VLOOKUP(B48,TBHPI[],COLUMNS(TBHPI[[Strand]:[Selected]]),FALSE),FALSE)))),FALSE)</f>
        <v>0</v>
      </c>
      <c r="E48" s="92" t="b">
        <f>COUNTIFS($C$12:$C48,C48,$D$12:$D48,TRUE)=1</f>
        <v>0</v>
      </c>
      <c r="F48" s="92" t="b">
        <f>COUNTIFS($C$12:$C48,$C48,$B$12:$B48,$B48,$D$12:$D48,TRUE)=1</f>
        <v>0</v>
      </c>
      <c r="G48" s="99">
        <f>IF($F48,COUNTIFS($C$12:$C48,C48,$F$12:$F48,TRUE),0)</f>
        <v>0</v>
      </c>
      <c r="H48" s="99" t="str">
        <f t="shared" si="0"/>
        <v>2.6.2-Q</v>
      </c>
      <c r="I48" s="99">
        <f>IF(AND(D48,NOT($A48=$A47)),(COUNTIF($D$11:$D47,TRUE)/3)+1,0)</f>
        <v>0</v>
      </c>
      <c r="J48" s="99" t="s">
        <v>1012</v>
      </c>
      <c r="K48" s="99" t="b">
        <f>IF(AND(teacher_type="R",career_stage="P"),IF(AND(COUNTIFS(RPS[Strand],$B48,RPS[QET],$J48)&gt;0,$D48),TRUE,FALSE), IF(AND(teacher_type="R",career_stage="HP"),IF(AND(COUNTIFS(RHPS[Strand],$B48,RHPS[QET],$J48)&gt;0,$D48),TRUE,FALSE), IF(AND(teacher_type="TB",career_stage="P"),IF(AND(COUNTIFS(TBPS[Strand],$B48,TBPS[QET],$J48)&gt;0,$D48),TRUE,FALSE), IF(AND(teacher_type="TB",career_stage="HP"),IF(AND(COUNTIFS(TBHPS[Strand],$B48,TBHPS[QET],$J48)&gt;0,$D48),TRUE,FALSE),FALSE))))</f>
        <v>0</v>
      </c>
      <c r="L48" s="99" t="str">
        <f>IF($K48,IF(AND(teacher_type="R",career_stage="P"),VLOOKUP($B48,RPI[],COLUMNS(RPI[[Strand]:[user_selected_coi_ncoi]]),FALSE), IF(AND(teacher_type="R",career_stage="HP"),VLOOKUP($B48,RHPI[],COLUMNS(RHPI[[Strand]:[user_selected_coi_ncoi]]),FALSE), IF(AND(teacher_type="TB",career_stage="P"),VLOOKUP($B48,TBPI[],COLUMNS(TBPI[[Strand]:[user_selected_coi_ncoi]]),FALSE), IF(AND(teacher_type="TB",career_stage="HP"),VLOOKUP($B48,TBHPI[],COLUMNS(TBHPI[[Strand]:[user_selected_coi_ncoi]]),FALSE),"")))),"")</f>
        <v/>
      </c>
      <c r="M48" s="99" t="b">
        <f>IF(AND(teacher_type="R",career_stage="P"),IF(AND(COUNTIFS(RPS[Strand],$B48,RPS[QET],M$11)&gt;0,$D48),TRUE,FALSE),IF(AND(teacher_type="R",career_stage="HP"),IF(AND(COUNTIFS(RHPS[Strand],$B48,RHPS[QET],M$11)&gt;0,$D48),TRUE,FALSE), IF(AND(teacher_type="TB",career_stage="P"),IF(AND(COUNTIFS(TBPS[Strand],$B48,TBPS[QET],M$11)&gt;0,$D48),TRUE,FALSE), IF(AND(teacher_type="TB",career_stage="HP"),IF(AND(COUNTIFS(TBHPS[Strand],$B48,TBHPS[QET],M$11)&gt;0,$D48),TRUE,FALSE),FALSE))))</f>
        <v>0</v>
      </c>
      <c r="N48" s="99" t="b">
        <f>IF(AND(teacher_type="R",career_stage="P"),IF(AND(COUNTIFS(RPS[Strand],$B48,RPS[QET],N$11)&gt;0,$D48),TRUE,FALSE),IF(AND(teacher_type="R",career_stage="HP"),IF(AND(COUNTIFS(RHPS[Strand],$B48,RHPS[QET],N$11)&gt;0,$D48),TRUE,FALSE), IF(AND(teacher_type="TB",career_stage="P"),IF(AND(COUNTIFS(TBPS[Strand],$B48,TBPS[QET],N$11)&gt;0,$D48),TRUE,FALSE), IF(AND(teacher_type="TB",career_stage="HP"),IF(AND(COUNTIFS(TBHPS[Strand],$B48,TBHPS[QET],N$11)&gt;0,$D48),TRUE,FALSE),FALSE))))</f>
        <v>0</v>
      </c>
      <c r="O48" s="99" t="b">
        <f>IF(AND(teacher_type="R",career_stage="P"),IF(AND(COUNTIFS(RPS[Strand],$B48,RPS[QET],O$11)&gt;0,$D48),TRUE,FALSE),IF(AND(teacher_type="R",career_stage="HP"),IF(AND(COUNTIFS(RHPS[Strand],$B48,RHPS[QET],O$11)&gt;0,$D48),TRUE,FALSE), IF(AND(teacher_type="TB",career_stage="P"),IF(AND(COUNTIFS(TBPS[Strand],$B48,TBPS[QET],O$11)&gt;0,$D48),TRUE,FALSE), IF(AND(teacher_type="TB",career_stage="HP"),IF(AND(COUNTIFS(TBHPS[Strand],$B48,TBHPS[QET],O$11)&gt;0,$D48),TRUE,FALSE),FALSE))))</f>
        <v>0</v>
      </c>
      <c r="P48" s="710"/>
      <c r="Q48" s="662" t="str">
        <f>IFERROR(IF(E48,IF(C48="Plus Factor","Plus Factor",C48 &amp; ". " &amp; INDEX(Domains[Domain],MATCH(C48,Domains[Domain_code],0),1)),""),"")</f>
        <v/>
      </c>
      <c r="R48" s="663" t="str">
        <f>IFERROR(IF($F48,$I48 &amp; ". " &amp; IF(AND(career_stage="P",teacher_type="R"), INDEX(RPI[PPST Indicators],MATCH($B48,RPI[Strand],0),1), IF(AND(career_stage="HP",teacher_type="R"),INDEX(RHPI[PPST Indicators],MATCH($B48,RHPI[Strand],0),1), IF(AND(career_stage="P",teacher_type="TB"),INDEX(TBPI[PPST Indicators],MATCH($B48,TBPI[Strand],0),1), IF(AND(career_stage="HP",teacher_type="TB"),INDEX(TBHPI[PPST Indicators],MATCH($B48,TBHPI[Strand],0),1),"")))) &amp; IF(NOT(TRIM(LOWER($C48))="plus factor")," (PPST "&amp;B48&amp;")",""),""),"")</f>
        <v/>
      </c>
      <c r="S48" s="664" t="str" cm="1">
        <f t="array" ref="S48">demographics[rating_period]</f>
        <v>SY 2023-2024</v>
      </c>
      <c r="T48" s="678">
        <f>IFERROR(IF(AND(career_stage="P",teacher_type="R"),VLOOKUP(B48,RPI[],COLUMNS(RPI[[Strand]:[Weight]]),FALSE), IF(AND(career_stage="HP",teacher_type="R"),VLOOKUP(B48,RHPI[],COLUMNS(RHPI[[Strand]:[Weight]]),FALSE), IF(AND(career_stage="P",teacher_type="TB"),VLOOKUP(B48,TBPI[],COLUMNS(TBPI[[Strand]:[Weight]]),FALSE), IF(AND(career_stage="HP",teacher_type="TB"),VLOOKUP(B48,TBHPI[],COLUMNS(TBHPI[[Strand]:[Weight]]),FALSE),0)))),0)</f>
        <v>0</v>
      </c>
      <c r="U48" s="94" t="s">
        <v>1185</v>
      </c>
      <c r="V48" s="391" t="str">
        <f ca="1">IFERROR(IF($M48,IF(AND(career_stage="P",teacher_type="R"),INDEX(INDIRECT("RPS["&amp;V$10&amp;"]"),MATCH($H48,RPS[helper],0),1), IF(AND(career_stage="HP",teacher_type="R"), INDEX(INDIRECT("RHPS["&amp;V$10&amp;"]"),MATCH($H48,RHPS[helper],0),1), IF(AND(career_stage="P",teacher_type="TB"),INDEX(INDIRECT("TBPS["&amp;V$10&amp;"]"),MATCH($H48,TBPS[helper],0),1), IF(AND(career_stage="HP",teacher_type="TB"),INDEX(INDIRECT("TBHPS["&amp;V$10&amp;"]"),MATCH($H48,TBHPS[helper],0),1),"")))),""),"")</f>
        <v/>
      </c>
      <c r="W48" s="391" t="str">
        <f ca="1">IFERROR(IF($M48,IF(AND(career_stage="P",teacher_type="R"),INDEX(INDIRECT("RPS["&amp;W$10&amp;"]"),MATCH($H48,RPS[helper],0),1), IF(AND(career_stage="HP",teacher_type="R"), INDEX(INDIRECT("RHPS["&amp;W$10&amp;"]"),MATCH($H48,RHPS[helper],0),1), IF(AND(career_stage="P",teacher_type="TB"),INDEX(INDIRECT("TBPS["&amp;W$10&amp;"]"),MATCH($H48,TBPS[helper],0),1), IF(AND(career_stage="HP",teacher_type="TB"),INDEX(INDIRECT("TBHPS["&amp;W$10&amp;"]"),MATCH($H48,TBHPS[helper],0),1),"")))),""),"")</f>
        <v/>
      </c>
      <c r="X48" s="391" t="str">
        <f ca="1">IFERROR(IF($M48,IF(AND(career_stage="P",teacher_type="R"),INDEX(INDIRECT("RPS["&amp;X$10&amp;"]"),MATCH($H48,RPS[helper],0),1), IF(AND(career_stage="HP",teacher_type="R"), INDEX(INDIRECT("RHPS["&amp;X$10&amp;"]"),MATCH($H48,RHPS[helper],0),1), IF(AND(career_stage="P",teacher_type="TB"),INDEX(INDIRECT("TBPS["&amp;X$10&amp;"]"),MATCH($H48,TBPS[helper],0),1), IF(AND(career_stage="HP",teacher_type="TB"),INDEX(INDIRECT("TBHPS["&amp;X$10&amp;"]"),MATCH($H48,TBHPS[helper],0),1),"")))),""),"")</f>
        <v/>
      </c>
      <c r="Y48" s="391" t="str">
        <f ca="1">IFERROR(IF($M48,IF(AND(career_stage="P",teacher_type="R"),INDEX(INDIRECT("RPS["&amp;Y$10&amp;"]"),MATCH($H48,RPS[helper],0),1), IF(AND(career_stage="HP",teacher_type="R"), INDEX(INDIRECT("RHPS["&amp;Y$10&amp;"]"),MATCH($H48,RHPS[helper],0),1), IF(AND(career_stage="P",teacher_type="TB"),INDEX(INDIRECT("TBPS["&amp;Y$10&amp;"]"),MATCH($H48,TBPS[helper],0),1), IF(AND(career_stage="HP",teacher_type="TB"),INDEX(INDIRECT("TBHPS["&amp;Y$10&amp;"]"),MATCH($H48,TBHPS[helper],0),1),"")))),""),"")</f>
        <v/>
      </c>
      <c r="Z48" s="391" t="str">
        <f ca="1">IFERROR(IF($M48,IF(AND(career_stage="P",teacher_type="R"),INDEX(INDIRECT("RPS["&amp;Z$10&amp;"]"),MATCH($H48,RPS[helper],0),1), IF(AND(career_stage="HP",teacher_type="R"), INDEX(INDIRECT("RHPS["&amp;Z$10&amp;"]"),MATCH($H48,RHPS[helper],0),1), IF(AND(career_stage="P",teacher_type="TB"),INDEX(INDIRECT("TBPS["&amp;Z$10&amp;"]"),MATCH($H48,TBPS[helper],0),1), IF(AND(career_stage="HP",teacher_type="TB"),INDEX(INDIRECT("TBHPS["&amp;Z$10&amp;"]"),MATCH($H48,TBHPS[helper],0),1),"")))),""),"")</f>
        <v/>
      </c>
      <c r="AA48" s="392" t="str" cm="1">
        <f t="array" ref="AA48">IFERROR(INDEX(V48:Z48,6-AB48),"")</f>
        <v/>
      </c>
      <c r="AB48" s="680" t="str">
        <f>IF('Encoding Part 1'!AB34="","",'Encoding Part 1'!AB34)</f>
        <v/>
      </c>
      <c r="AC48" s="680" t="str">
        <f>IF('Encoding Part 1'!AC34="","",'Encoding Part 1'!AC34)</f>
        <v/>
      </c>
      <c r="AD48" s="680" t="str">
        <f>IF('Encoding Part 1'!AD34="","",'Encoding Part 1'!AD34)</f>
        <v/>
      </c>
      <c r="AE48" s="682">
        <f t="shared" ref="AE48" si="23">IFERROR(ROUNDDOWN(AVERAGE($AB48:$AD48),3),0)</f>
        <v>0</v>
      </c>
      <c r="AF48" s="661">
        <f t="shared" ref="AF48" si="24">ROUNDDOWN($AE48*$T48,3)</f>
        <v>0</v>
      </c>
      <c r="AG48" s="5"/>
    </row>
    <row r="49" spans="1:33" hidden="1" x14ac:dyDescent="0.25">
      <c r="A49" s="92">
        <v>13</v>
      </c>
      <c r="B49" s="99" t="str" cm="1">
        <f t="array" ref="B49">IFERROR(IF(AND(teacher_type="R",career_stage="P"),INDEX(RPI[Strand],$A49),IF(AND(teacher_type="R",career_stage="HP"),INDEX(RHPI[Strand],$A49), IF(AND(teacher_type="TB",career_stage="P"),INDEX(TBPI[Strand],$A49), IF(AND(teacher_type="TB",career_stage="HP"),INDEX(TBHPI[Strand],$A49),0)))),0)</f>
        <v>2.6.2</v>
      </c>
      <c r="C49" s="99">
        <f>IFERROR(IF(AND(teacher_type="R",career_stage="P"),VLOOKUP($B49,RPI[[Strand]:[Domain]],COLUMNS(RPI[[Strand]:[Domain]]),FALSE), IF(AND(teacher_type="R",career_stage="HP"),VLOOKUP($B49,RHPI[[Strand]:[Domain]],COLUMNS(RHPI[[Strand]:[Domain]]),FALSE), IF(AND(teacher_type="TB",career_stage="P"),VLOOKUP($B49,TBPI[[Strand]:[Domain]],COLUMNS(TBPI[[Strand]:[Domain]]),FALSE), IF(AND(teacher_type="TB",career_stage="HP"),VLOOKUP($B49,TBHPI[[Strand]:[Domain]],COLUMNS(TBHPI[[Strand]:[Domain]]),FALSE),"")))),"")</f>
        <v>2</v>
      </c>
      <c r="D49" s="99" t="b">
        <f>IFERROR(IF(AND(career_stage="P",teacher_type="R"),VLOOKUP(B49,RPI[],COLUMNS(RPI[[Strand]:[Selected]]),FALSE), IF(AND(career_stage="HP",teacher_type="R"),VLOOKUP(B49,RHPI[],COLUMNS(RHPI[[Strand]:[Selected]]),FALSE), IF(AND(career_stage="P",teacher_type="TB"),VLOOKUP(B49,TBPI[],COLUMNS(TBPI[[Strand]:[Selected]]),FALSE), IF(AND(career_stage="HP",teacher_type="TB"),VLOOKUP(B49,TBHPI[],COLUMNS(TBHPI[[Strand]:[Selected]]),FALSE),FALSE)))),FALSE)</f>
        <v>0</v>
      </c>
      <c r="E49" s="92" t="b">
        <f>COUNTIFS($C$12:$C49,C49,$D$12:$D49,TRUE)=1</f>
        <v>0</v>
      </c>
      <c r="F49" s="92" t="b">
        <f>COUNTIFS($C$12:$C49,$C49,$B$12:$B49,$B49,$D$12:$D49,TRUE)=1</f>
        <v>0</v>
      </c>
      <c r="G49" s="99">
        <f>IF($F49,COUNTIFS($C$12:$C49,C49,$F$12:$F49,TRUE),0)</f>
        <v>0</v>
      </c>
      <c r="H49" s="99" t="str">
        <f t="shared" si="0"/>
        <v>2.6.2-E</v>
      </c>
      <c r="I49" s="99">
        <f>IF(AND(D49,NOT($A49=$A48)),(COUNTIF($D$11:$D48,TRUE)/3)+1,0)</f>
        <v>0</v>
      </c>
      <c r="J49" s="99" t="s">
        <v>1073</v>
      </c>
      <c r="K49" s="99" t="b">
        <f>IF(AND(teacher_type="R",career_stage="P"),IF(AND(COUNTIFS(RPS[Strand],$B49,RPS[QET],$J49)&gt;0,$D49),TRUE,FALSE), IF(AND(teacher_type="R",career_stage="HP"),IF(AND(COUNTIFS(RHPS[Strand],$B49,RHPS[QET],$J49)&gt;0,$D49),TRUE,FALSE), IF(AND(teacher_type="TB",career_stage="P"),IF(AND(COUNTIFS(TBPS[Strand],$B49,TBPS[QET],$J49)&gt;0,$D49),TRUE,FALSE), IF(AND(teacher_type="TB",career_stage="HP"),IF(AND(COUNTIFS(TBHPS[Strand],$B49,TBHPS[QET],$J49)&gt;0,$D49),TRUE,FALSE),FALSE))))</f>
        <v>0</v>
      </c>
      <c r="L49" s="99" t="str">
        <f>IF($K49,IF(AND(teacher_type="R",career_stage="P"),VLOOKUP($B49,RPI[],COLUMNS(RPI[[Strand]:[user_selected_coi_ncoi]]),FALSE), IF(AND(teacher_type="R",career_stage="HP"),VLOOKUP($B49,RHPI[],COLUMNS(RHPI[[Strand]:[user_selected_coi_ncoi]]),FALSE), IF(AND(teacher_type="TB",career_stage="P"),VLOOKUP($B49,TBPI[],COLUMNS(TBPI[[Strand]:[user_selected_coi_ncoi]]),FALSE), IF(AND(teacher_type="TB",career_stage="HP"),VLOOKUP($B49,TBHPI[],COLUMNS(TBHPI[[Strand]:[user_selected_coi_ncoi]]),FALSE),"")))),"")</f>
        <v/>
      </c>
      <c r="M49" s="99" t="b">
        <f>IF(AND(teacher_type="R",career_stage="P"),IF(AND(COUNTIFS(RPS[Strand],$B49,RPS[QET],M$11)&gt;0,$D49),TRUE,FALSE),IF(AND(teacher_type="R",career_stage="HP"),IF(AND(COUNTIFS(RHPS[Strand],$B49,RHPS[QET],M$11)&gt;0,$D49),TRUE,FALSE), IF(AND(teacher_type="TB",career_stage="P"),IF(AND(COUNTIFS(TBPS[Strand],$B49,TBPS[QET],M$11)&gt;0,$D49),TRUE,FALSE), IF(AND(teacher_type="TB",career_stage="HP"),IF(AND(COUNTIFS(TBHPS[Strand],$B49,TBHPS[QET],M$11)&gt;0,$D49),TRUE,FALSE),FALSE))))</f>
        <v>0</v>
      </c>
      <c r="N49" s="99" t="b">
        <f>IF(AND(teacher_type="R",career_stage="P"),IF(AND(COUNTIFS(RPS[Strand],$B49,RPS[QET],N$11)&gt;0,$D49),TRUE,FALSE),IF(AND(teacher_type="R",career_stage="HP"),IF(AND(COUNTIFS(RHPS[Strand],$B49,RHPS[QET],N$11)&gt;0,$D49),TRUE,FALSE), IF(AND(teacher_type="TB",career_stage="P"),IF(AND(COUNTIFS(TBPS[Strand],$B49,TBPS[QET],N$11)&gt;0,$D49),TRUE,FALSE), IF(AND(teacher_type="TB",career_stage="HP"),IF(AND(COUNTIFS(TBHPS[Strand],$B49,TBHPS[QET],N$11)&gt;0,$D49),TRUE,FALSE),FALSE))))</f>
        <v>0</v>
      </c>
      <c r="O49" s="99" t="b">
        <f>IF(AND(teacher_type="R",career_stage="P"),IF(AND(COUNTIFS(RPS[Strand],$B49,RPS[QET],O$11)&gt;0,$D49),TRUE,FALSE),IF(AND(teacher_type="R",career_stage="HP"),IF(AND(COUNTIFS(RHPS[Strand],$B49,RHPS[QET],O$11)&gt;0,$D49),TRUE,FALSE), IF(AND(teacher_type="TB",career_stage="P"),IF(AND(COUNTIFS(TBPS[Strand],$B49,TBPS[QET],O$11)&gt;0,$D49),TRUE,FALSE), IF(AND(teacher_type="TB",career_stage="HP"),IF(AND(COUNTIFS(TBHPS[Strand],$B49,TBHPS[QET],O$11)&gt;0,$D49),TRUE,FALSE),FALSE))))</f>
        <v>0</v>
      </c>
      <c r="P49" s="710"/>
      <c r="Q49" s="662"/>
      <c r="R49" s="663"/>
      <c r="S49" s="664"/>
      <c r="T49" s="678"/>
      <c r="U49" s="94" t="s">
        <v>1186</v>
      </c>
      <c r="V49" s="391" t="str">
        <f ca="1">IFERROR(IF($N49,IF(AND(career_stage="P",teacher_type="R"),INDEX(INDIRECT("RPS["&amp;V$10&amp;"]"),MATCH($H49,RPS[helper],0),1), IF(AND(career_stage="HP",teacher_type="R"), INDEX(INDIRECT("RHPS["&amp;V$10&amp;"]"),MATCH($H49,RHPS[helper],0),1), IF(AND(career_stage="P",teacher_type="TB"),INDEX(INDIRECT("TBPS["&amp;V$10&amp;"]"),MATCH($H49,TBPS[helper],0),1), IF(AND(career_stage="HP",teacher_type="TB"),INDEX(INDIRECT("TBHPS["&amp;V$10&amp;"]"),MATCH($H49,TBHPS[helper],0),1),"")))),""),"")</f>
        <v/>
      </c>
      <c r="W49" s="391" t="str">
        <f ca="1">IFERROR(IF($N49,IF(AND(career_stage="P",teacher_type="R"),INDEX(INDIRECT("RPS["&amp;W$10&amp;"]"),MATCH($H49,RPS[helper],0),1), IF(AND(career_stage="HP",teacher_type="R"), INDEX(INDIRECT("RHPS["&amp;W$10&amp;"]"),MATCH($H49,RHPS[helper],0),1), IF(AND(career_stage="P",teacher_type="TB"),INDEX(INDIRECT("TBPS["&amp;W$10&amp;"]"),MATCH($H49,TBPS[helper],0),1), IF(AND(career_stage="HP",teacher_type="TB"),INDEX(INDIRECT("TBHPS["&amp;W$10&amp;"]"),MATCH($H49,TBHPS[helper],0),1),"")))),""),"")</f>
        <v/>
      </c>
      <c r="X49" s="391" t="str">
        <f ca="1">IFERROR(IF($N49,IF(AND(career_stage="P",teacher_type="R"),INDEX(INDIRECT("RPS["&amp;X$10&amp;"]"),MATCH($H49,RPS[helper],0),1), IF(AND(career_stage="HP",teacher_type="R"), INDEX(INDIRECT("RHPS["&amp;X$10&amp;"]"),MATCH($H49,RHPS[helper],0),1), IF(AND(career_stage="P",teacher_type="TB"),INDEX(INDIRECT("TBPS["&amp;X$10&amp;"]"),MATCH($H49,TBPS[helper],0),1), IF(AND(career_stage="HP",teacher_type="TB"),INDEX(INDIRECT("TBHPS["&amp;X$10&amp;"]"),MATCH($H49,TBHPS[helper],0),1),"")))),""),"")</f>
        <v/>
      </c>
      <c r="Y49" s="391" t="str">
        <f ca="1">IFERROR(IF($N49,IF(AND(career_stage="P",teacher_type="R"),INDEX(INDIRECT("RPS["&amp;Y$10&amp;"]"),MATCH($H49,RPS[helper],0),1), IF(AND(career_stage="HP",teacher_type="R"), INDEX(INDIRECT("RHPS["&amp;Y$10&amp;"]"),MATCH($H49,RHPS[helper],0),1), IF(AND(career_stage="P",teacher_type="TB"),INDEX(INDIRECT("TBPS["&amp;Y$10&amp;"]"),MATCH($H49,TBPS[helper],0),1), IF(AND(career_stage="HP",teacher_type="TB"),INDEX(INDIRECT("TBHPS["&amp;Y$10&amp;"]"),MATCH($H49,TBHPS[helper],0),1),"")))),""),"")</f>
        <v/>
      </c>
      <c r="Z49" s="391" t="str">
        <f ca="1">IFERROR(IF($N49,IF(AND(career_stage="P",teacher_type="R"),INDEX(INDIRECT("RPS["&amp;Z$10&amp;"]"),MATCH($H49,RPS[helper],0),1), IF(AND(career_stage="HP",teacher_type="R"), INDEX(INDIRECT("RHPS["&amp;Z$10&amp;"]"),MATCH($H49,RHPS[helper],0),1), IF(AND(career_stage="P",teacher_type="TB"),INDEX(INDIRECT("TBPS["&amp;Z$10&amp;"]"),MATCH($H49,TBPS[helper],0),1), IF(AND(career_stage="HP",teacher_type="TB"),INDEX(INDIRECT("TBHPS["&amp;Z$10&amp;"]"),MATCH($H49,TBHPS[helper],0),1),"")))),""),"")</f>
        <v/>
      </c>
      <c r="AA49" s="392" t="str" cm="1">
        <f t="array" ref="AA49">IFERROR(INDEX(V49:Z49,6-AC48),"")</f>
        <v/>
      </c>
      <c r="AB49" s="680"/>
      <c r="AC49" s="680"/>
      <c r="AD49" s="680"/>
      <c r="AE49" s="682"/>
      <c r="AF49" s="661"/>
      <c r="AG49" s="5"/>
    </row>
    <row r="50" spans="1:33" hidden="1" x14ac:dyDescent="0.25">
      <c r="A50" s="92">
        <v>13</v>
      </c>
      <c r="B50" s="99" t="str" cm="1">
        <f t="array" ref="B50">IFERROR(IF(AND(teacher_type="R",career_stage="P"),INDEX(RPI[Strand],$A50),IF(AND(teacher_type="R",career_stage="HP"),INDEX(RHPI[Strand],$A50), IF(AND(teacher_type="TB",career_stage="P"),INDEX(TBPI[Strand],$A50), IF(AND(teacher_type="TB",career_stage="HP"),INDEX(TBHPI[Strand],$A50),0)))),0)</f>
        <v>2.6.2</v>
      </c>
      <c r="C50" s="99">
        <f>IFERROR(IF(AND(teacher_type="R",career_stage="P"),VLOOKUP($B50,RPI[[Strand]:[Domain]],COLUMNS(RPI[[Strand]:[Domain]]),FALSE), IF(AND(teacher_type="R",career_stage="HP"),VLOOKUP($B50,RHPI[[Strand]:[Domain]],COLUMNS(RHPI[[Strand]:[Domain]]),FALSE), IF(AND(teacher_type="TB",career_stage="P"),VLOOKUP($B50,TBPI[[Strand]:[Domain]],COLUMNS(TBPI[[Strand]:[Domain]]),FALSE), IF(AND(teacher_type="TB",career_stage="HP"),VLOOKUP($B50,TBHPI[[Strand]:[Domain]],COLUMNS(TBHPI[[Strand]:[Domain]]),FALSE),"")))),"")</f>
        <v>2</v>
      </c>
      <c r="D50" s="99" t="b">
        <f>IFERROR(IF(AND(career_stage="P",teacher_type="R"),VLOOKUP(B50,RPI[],COLUMNS(RPI[[Strand]:[Selected]]),FALSE), IF(AND(career_stage="HP",teacher_type="R"),VLOOKUP(B50,RHPI[],COLUMNS(RHPI[[Strand]:[Selected]]),FALSE), IF(AND(career_stage="P",teacher_type="TB"),VLOOKUP(B50,TBPI[],COLUMNS(TBPI[[Strand]:[Selected]]),FALSE), IF(AND(career_stage="HP",teacher_type="TB"),VLOOKUP(B50,TBHPI[],COLUMNS(TBHPI[[Strand]:[Selected]]),FALSE),FALSE)))),FALSE)</f>
        <v>0</v>
      </c>
      <c r="E50" s="92" t="b">
        <f>COUNTIFS($C$12:$C50,C50,$D$12:$D50,TRUE)=1</f>
        <v>0</v>
      </c>
      <c r="F50" s="92" t="b">
        <f>COUNTIFS($C$12:$C50,$C50,$B$12:$B50,$B50,$D$12:$D50,TRUE)=1</f>
        <v>0</v>
      </c>
      <c r="G50" s="99">
        <f>IF($F50,COUNTIFS($C$12:$C50,C50,$F$12:$F50,TRUE),0)</f>
        <v>0</v>
      </c>
      <c r="H50" s="99" t="str">
        <f t="shared" si="0"/>
        <v>2.6.2-T</v>
      </c>
      <c r="I50" s="99">
        <f>IF(AND(D50,NOT($A50=$A49)),(COUNTIF($D$11:$D49,TRUE)/3)+1,0)</f>
        <v>0</v>
      </c>
      <c r="J50" s="99" t="s">
        <v>1014</v>
      </c>
      <c r="K50" s="99" t="b">
        <f>IF(AND(teacher_type="R",career_stage="P"),IF(AND(COUNTIFS(RPS[Strand],$B50,RPS[QET],$J50)&gt;0,$D50),TRUE,FALSE), IF(AND(teacher_type="R",career_stage="HP"),IF(AND(COUNTIFS(RHPS[Strand],$B50,RHPS[QET],$J50)&gt;0,$D50),TRUE,FALSE), IF(AND(teacher_type="TB",career_stage="P"),IF(AND(COUNTIFS(TBPS[Strand],$B50,TBPS[QET],$J50)&gt;0,$D50),TRUE,FALSE), IF(AND(teacher_type="TB",career_stage="HP"),IF(AND(COUNTIFS(TBHPS[Strand],$B50,TBHPS[QET],$J50)&gt;0,$D50),TRUE,FALSE),FALSE))))</f>
        <v>0</v>
      </c>
      <c r="L50" s="99" t="str">
        <f>IF($K50,IF(AND(teacher_type="R",career_stage="P"),VLOOKUP($B50,RPI[],COLUMNS(RPI[[Strand]:[user_selected_coi_ncoi]]),FALSE), IF(AND(teacher_type="R",career_stage="HP"),VLOOKUP($B50,RHPI[],COLUMNS(RHPI[[Strand]:[user_selected_coi_ncoi]]),FALSE), IF(AND(teacher_type="TB",career_stage="P"),VLOOKUP($B50,TBPI[],COLUMNS(TBPI[[Strand]:[user_selected_coi_ncoi]]),FALSE), IF(AND(teacher_type="TB",career_stage="HP"),VLOOKUP($B50,TBHPI[],COLUMNS(TBHPI[[Strand]:[user_selected_coi_ncoi]]),FALSE),"")))),"")</f>
        <v/>
      </c>
      <c r="M50" s="99" t="b">
        <f>IF(AND(teacher_type="R",career_stage="P"),IF(AND(COUNTIFS(RPS[Strand],$B50,RPS[QET],M$11)&gt;0,$D50),TRUE,FALSE),IF(AND(teacher_type="R",career_stage="HP"),IF(AND(COUNTIFS(RHPS[Strand],$B50,RHPS[QET],M$11)&gt;0,$D50),TRUE,FALSE), IF(AND(teacher_type="TB",career_stage="P"),IF(AND(COUNTIFS(TBPS[Strand],$B50,TBPS[QET],M$11)&gt;0,$D50),TRUE,FALSE), IF(AND(teacher_type="TB",career_stage="HP"),IF(AND(COUNTIFS(TBHPS[Strand],$B50,TBHPS[QET],M$11)&gt;0,$D50),TRUE,FALSE),FALSE))))</f>
        <v>0</v>
      </c>
      <c r="N50" s="99" t="b">
        <f>IF(AND(teacher_type="R",career_stage="P"),IF(AND(COUNTIFS(RPS[Strand],$B50,RPS[QET],N$11)&gt;0,$D50),TRUE,FALSE),IF(AND(teacher_type="R",career_stage="HP"),IF(AND(COUNTIFS(RHPS[Strand],$B50,RHPS[QET],N$11)&gt;0,$D50),TRUE,FALSE), IF(AND(teacher_type="TB",career_stage="P"),IF(AND(COUNTIFS(TBPS[Strand],$B50,TBPS[QET],N$11)&gt;0,$D50),TRUE,FALSE), IF(AND(teacher_type="TB",career_stage="HP"),IF(AND(COUNTIFS(TBHPS[Strand],$B50,TBHPS[QET],N$11)&gt;0,$D50),TRUE,FALSE),FALSE))))</f>
        <v>0</v>
      </c>
      <c r="O50" s="99" t="b">
        <f>IF(AND(teacher_type="R",career_stage="P"),IF(AND(COUNTIFS(RPS[Strand],$B50,RPS[QET],O$11)&gt;0,$D50),TRUE,FALSE),IF(AND(teacher_type="R",career_stage="HP"),IF(AND(COUNTIFS(RHPS[Strand],$B50,RHPS[QET],O$11)&gt;0,$D50),TRUE,FALSE), IF(AND(teacher_type="TB",career_stage="P"),IF(AND(COUNTIFS(TBPS[Strand],$B50,TBPS[QET],O$11)&gt;0,$D50),TRUE,FALSE), IF(AND(teacher_type="TB",career_stage="HP"),IF(AND(COUNTIFS(TBHPS[Strand],$B50,TBHPS[QET],O$11)&gt;0,$D50),TRUE,FALSE),FALSE))))</f>
        <v>0</v>
      </c>
      <c r="P50" s="710"/>
      <c r="Q50" s="662"/>
      <c r="R50" s="663"/>
      <c r="S50" s="664"/>
      <c r="T50" s="678"/>
      <c r="U50" s="94" t="s">
        <v>1187</v>
      </c>
      <c r="V50" s="391" t="str">
        <f ca="1">IFERROR(IF($O50,IF(AND(career_stage="P",teacher_type="R"),INDEX(INDIRECT("RPS["&amp;V$10&amp;"]"),MATCH($H50,RPS[helper],0),1), IF(AND(career_stage="HP",teacher_type="R"), INDEX(INDIRECT("RHPS["&amp;V$10&amp;"]"),MATCH($H50,RHPS[helper],0),1), IF(AND(career_stage="P",teacher_type="TB"),INDEX(INDIRECT("TBPS["&amp;V$10&amp;"]"),MATCH($H50,TBPS[helper],0),1), IF(AND(career_stage="HP",teacher_type="TB"),INDEX(INDIRECT("TBHPS["&amp;V$10&amp;"]"),MATCH($H50,TBHPS[helper],0),1),"")))),""),"")</f>
        <v/>
      </c>
      <c r="W50" s="391" t="str">
        <f ca="1">IFERROR(IF($O50,IF(AND(career_stage="P",teacher_type="R"),INDEX(INDIRECT("RPS["&amp;W$10&amp;"]"),MATCH($H50,RPS[helper],0),1), IF(AND(career_stage="HP",teacher_type="R"), INDEX(INDIRECT("RHPS["&amp;W$10&amp;"]"),MATCH($H50,RHPS[helper],0),1), IF(AND(career_stage="P",teacher_type="TB"),INDEX(INDIRECT("TBPS["&amp;W$10&amp;"]"),MATCH($H50,TBPS[helper],0),1), IF(AND(career_stage="HP",teacher_type="TB"),INDEX(INDIRECT("TBHPS["&amp;W$10&amp;"]"),MATCH($H50,TBHPS[helper],0),1),"")))),""),"")</f>
        <v/>
      </c>
      <c r="X50" s="391" t="str">
        <f ca="1">IFERROR(IF($O50,IF(AND(career_stage="P",teacher_type="R"),INDEX(INDIRECT("RPS["&amp;X$10&amp;"]"),MATCH($H50,RPS[helper],0),1), IF(AND(career_stage="HP",teacher_type="R"), INDEX(INDIRECT("RHPS["&amp;X$10&amp;"]"),MATCH($H50,RHPS[helper],0),1), IF(AND(career_stage="P",teacher_type="TB"),INDEX(INDIRECT("TBPS["&amp;X$10&amp;"]"),MATCH($H50,TBPS[helper],0),1), IF(AND(career_stage="HP",teacher_type="TB"),INDEX(INDIRECT("TBHPS["&amp;X$10&amp;"]"),MATCH($H50,TBHPS[helper],0),1),"")))),""),"")</f>
        <v/>
      </c>
      <c r="Y50" s="391" t="str">
        <f ca="1">IFERROR(IF($O50,IF(AND(career_stage="P",teacher_type="R"),INDEX(INDIRECT("RPS["&amp;Y$10&amp;"]"),MATCH($H50,RPS[helper],0),1), IF(AND(career_stage="HP",teacher_type="R"), INDEX(INDIRECT("RHPS["&amp;Y$10&amp;"]"),MATCH($H50,RHPS[helper],0),1), IF(AND(career_stage="P",teacher_type="TB"),INDEX(INDIRECT("TBPS["&amp;Y$10&amp;"]"),MATCH($H50,TBPS[helper],0),1), IF(AND(career_stage="HP",teacher_type="TB"),INDEX(INDIRECT("TBHPS["&amp;Y$10&amp;"]"),MATCH($H50,TBHPS[helper],0),1),"")))),""),"")</f>
        <v/>
      </c>
      <c r="Z50" s="391" t="str">
        <f ca="1">IFERROR(IF($O50,IF(AND(career_stage="P",teacher_type="R"),INDEX(INDIRECT("RPS["&amp;Z$10&amp;"]"),MATCH($H50,RPS[helper],0),1), IF(AND(career_stage="HP",teacher_type="R"), INDEX(INDIRECT("RHPS["&amp;Z$10&amp;"]"),MATCH($H50,RHPS[helper],0),1), IF(AND(career_stage="P",teacher_type="TB"),INDEX(INDIRECT("TBPS["&amp;Z$10&amp;"]"),MATCH($H50,TBPS[helper],0),1), IF(AND(career_stage="HP",teacher_type="TB"),INDEX(INDIRECT("TBHPS["&amp;Z$10&amp;"]"),MATCH($H50,TBHPS[helper],0),1),"")))),""),"")</f>
        <v/>
      </c>
      <c r="AA50" s="391" t="str" cm="1">
        <f t="array" ref="AA50">IFERROR(INDEX(V50:Z50,6-AD48),"")</f>
        <v/>
      </c>
      <c r="AB50" s="680"/>
      <c r="AC50" s="680"/>
      <c r="AD50" s="680"/>
      <c r="AE50" s="682"/>
      <c r="AF50" s="661"/>
      <c r="AG50" s="5"/>
    </row>
    <row r="51" spans="1:33" hidden="1" x14ac:dyDescent="0.25">
      <c r="A51" s="92">
        <v>14</v>
      </c>
      <c r="B51" s="99" t="str" cm="1">
        <f t="array" ref="B51">IFERROR(IF(AND(teacher_type="R",career_stage="P"),INDEX(RPI[Strand],$A51),IF(AND(teacher_type="R",career_stage="HP"),INDEX(RHPI[Strand],$A51), IF(AND(teacher_type="TB",career_stage="P"),INDEX(TBPI[Strand],$A51), IF(AND(teacher_type="TB",career_stage="HP"),INDEX(TBHPI[Strand],$A51),0)))),0)</f>
        <v>3.1.2</v>
      </c>
      <c r="C51" s="99">
        <f>IFERROR(IF(AND(teacher_type="R",career_stage="P"),VLOOKUP($B51,RPI[[Strand]:[Domain]],COLUMNS(RPI[[Strand]:[Domain]]),FALSE), IF(AND(teacher_type="R",career_stage="HP"),VLOOKUP($B51,RHPI[[Strand]:[Domain]],COLUMNS(RHPI[[Strand]:[Domain]]),FALSE), IF(AND(teacher_type="TB",career_stage="P"),VLOOKUP($B51,TBPI[[Strand]:[Domain]],COLUMNS(TBPI[[Strand]:[Domain]]),FALSE), IF(AND(teacher_type="TB",career_stage="HP"),VLOOKUP($B51,TBHPI[[Strand]:[Domain]],COLUMNS(TBHPI[[Strand]:[Domain]]),FALSE),"")))),"")</f>
        <v>2</v>
      </c>
      <c r="D51" s="99" t="b">
        <f>IFERROR(IF(AND(career_stage="P",teacher_type="R"),VLOOKUP(B51,RPI[],COLUMNS(RPI[[Strand]:[Selected]]),FALSE), IF(AND(career_stage="HP",teacher_type="R"),VLOOKUP(B51,RHPI[],COLUMNS(RHPI[[Strand]:[Selected]]),FALSE), IF(AND(career_stage="P",teacher_type="TB"),VLOOKUP(B51,TBPI[],COLUMNS(TBPI[[Strand]:[Selected]]),FALSE), IF(AND(career_stage="HP",teacher_type="TB"),VLOOKUP(B51,TBHPI[],COLUMNS(TBHPI[[Strand]:[Selected]]),FALSE),FALSE)))),FALSE)</f>
        <v>0</v>
      </c>
      <c r="E51" s="92" t="b">
        <f>COUNTIFS($C$12:$C51,C51,$D$12:$D51,TRUE)=1</f>
        <v>0</v>
      </c>
      <c r="F51" s="92" t="b">
        <f>COUNTIFS($C$12:$C51,$C51,$B$12:$B51,$B51,$D$12:$D51,TRUE)=1</f>
        <v>0</v>
      </c>
      <c r="G51" s="99">
        <f>IF($F51,COUNTIFS($C$12:$C51,C51,$F$12:$F51,TRUE),0)</f>
        <v>0</v>
      </c>
      <c r="H51" s="99" t="str">
        <f t="shared" si="0"/>
        <v>3.1.2-Q</v>
      </c>
      <c r="I51" s="99">
        <f>IF(AND(D51,NOT($A51=$A50)),(COUNTIF($D$11:$D50,TRUE)/3)+1,0)</f>
        <v>0</v>
      </c>
      <c r="J51" s="99" t="s">
        <v>1012</v>
      </c>
      <c r="K51" s="99" t="b">
        <f>IF(AND(teacher_type="R",career_stage="P"),IF(AND(COUNTIFS(RPS[Strand],$B51,RPS[QET],$J51)&gt;0,$D51),TRUE,FALSE), IF(AND(teacher_type="R",career_stage="HP"),IF(AND(COUNTIFS(RHPS[Strand],$B51,RHPS[QET],$J51)&gt;0,$D51),TRUE,FALSE), IF(AND(teacher_type="TB",career_stage="P"),IF(AND(COUNTIFS(TBPS[Strand],$B51,TBPS[QET],$J51)&gt;0,$D51),TRUE,FALSE), IF(AND(teacher_type="TB",career_stage="HP"),IF(AND(COUNTIFS(TBHPS[Strand],$B51,TBHPS[QET],$J51)&gt;0,$D51),TRUE,FALSE),FALSE))))</f>
        <v>0</v>
      </c>
      <c r="L51" s="99" t="str">
        <f>IF($K51,IF(AND(teacher_type="R",career_stage="P"),VLOOKUP($B51,RPI[],COLUMNS(RPI[[Strand]:[user_selected_coi_ncoi]]),FALSE), IF(AND(teacher_type="R",career_stage="HP"),VLOOKUP($B51,RHPI[],COLUMNS(RHPI[[Strand]:[user_selected_coi_ncoi]]),FALSE), IF(AND(teacher_type="TB",career_stage="P"),VLOOKUP($B51,TBPI[],COLUMNS(TBPI[[Strand]:[user_selected_coi_ncoi]]),FALSE), IF(AND(teacher_type="TB",career_stage="HP"),VLOOKUP($B51,TBHPI[],COLUMNS(TBHPI[[Strand]:[user_selected_coi_ncoi]]),FALSE),"")))),"")</f>
        <v/>
      </c>
      <c r="M51" s="99" t="b">
        <f>IF(AND(teacher_type="R",career_stage="P"),IF(AND(COUNTIFS(RPS[Strand],$B51,RPS[QET],M$11)&gt;0,$D51),TRUE,FALSE),IF(AND(teacher_type="R",career_stage="HP"),IF(AND(COUNTIFS(RHPS[Strand],$B51,RHPS[QET],M$11)&gt;0,$D51),TRUE,FALSE), IF(AND(teacher_type="TB",career_stage="P"),IF(AND(COUNTIFS(TBPS[Strand],$B51,TBPS[QET],M$11)&gt;0,$D51),TRUE,FALSE), IF(AND(teacher_type="TB",career_stage="HP"),IF(AND(COUNTIFS(TBHPS[Strand],$B51,TBHPS[QET],M$11)&gt;0,$D51),TRUE,FALSE),FALSE))))</f>
        <v>0</v>
      </c>
      <c r="N51" s="99" t="b">
        <f>IF(AND(teacher_type="R",career_stage="P"),IF(AND(COUNTIFS(RPS[Strand],$B51,RPS[QET],N$11)&gt;0,$D51),TRUE,FALSE),IF(AND(teacher_type="R",career_stage="HP"),IF(AND(COUNTIFS(RHPS[Strand],$B51,RHPS[QET],N$11)&gt;0,$D51),TRUE,FALSE), IF(AND(teacher_type="TB",career_stage="P"),IF(AND(COUNTIFS(TBPS[Strand],$B51,TBPS[QET],N$11)&gt;0,$D51),TRUE,FALSE), IF(AND(teacher_type="TB",career_stage="HP"),IF(AND(COUNTIFS(TBHPS[Strand],$B51,TBHPS[QET],N$11)&gt;0,$D51),TRUE,FALSE),FALSE))))</f>
        <v>0</v>
      </c>
      <c r="O51" s="99" t="b">
        <f>IF(AND(teacher_type="R",career_stage="P"),IF(AND(COUNTIFS(RPS[Strand],$B51,RPS[QET],O$11)&gt;0,$D51),TRUE,FALSE),IF(AND(teacher_type="R",career_stage="HP"),IF(AND(COUNTIFS(RHPS[Strand],$B51,RHPS[QET],O$11)&gt;0,$D51),TRUE,FALSE), IF(AND(teacher_type="TB",career_stage="P"),IF(AND(COUNTIFS(TBPS[Strand],$B51,TBPS[QET],O$11)&gt;0,$D51),TRUE,FALSE), IF(AND(teacher_type="TB",career_stage="HP"),IF(AND(COUNTIFS(TBHPS[Strand],$B51,TBHPS[QET],O$11)&gt;0,$D51),TRUE,FALSE),FALSE))))</f>
        <v>0</v>
      </c>
      <c r="P51" s="710"/>
      <c r="Q51" s="662" t="str">
        <f>IFERROR(IF(E51,IF(C51="Plus Factor","Plus Factor",C51 &amp; ". " &amp; INDEX(Domains[Domain],MATCH(C51,Domains[Domain_code],0),1)),""),"")</f>
        <v/>
      </c>
      <c r="R51" s="663" t="str">
        <f>IFERROR(IF($F51,$I51 &amp; ". " &amp; IF(AND(career_stage="P",teacher_type="R"), INDEX(RPI[PPST Indicators],MATCH($B51,RPI[Strand],0),1), IF(AND(career_stage="HP",teacher_type="R"),INDEX(RHPI[PPST Indicators],MATCH($B51,RHPI[Strand],0),1), IF(AND(career_stage="P",teacher_type="TB"),INDEX(TBPI[PPST Indicators],MATCH($B51,TBPI[Strand],0),1), IF(AND(career_stage="HP",teacher_type="TB"),INDEX(TBHPI[PPST Indicators],MATCH($B51,TBHPI[Strand],0),1),"")))) &amp; IF(NOT(TRIM(LOWER($C51))="plus factor")," (PPST "&amp;B51&amp;")",""),""),"")</f>
        <v/>
      </c>
      <c r="S51" s="664" t="str" cm="1">
        <f t="array" ref="S51">demographics[rating_period]</f>
        <v>SY 2023-2024</v>
      </c>
      <c r="T51" s="678">
        <f>IFERROR(IF(AND(career_stage="P",teacher_type="R"),VLOOKUP(B51,RPI[],COLUMNS(RPI[[Strand]:[Weight]]),FALSE), IF(AND(career_stage="HP",teacher_type="R"),VLOOKUP(B51,RHPI[],COLUMNS(RHPI[[Strand]:[Weight]]),FALSE), IF(AND(career_stage="P",teacher_type="TB"),VLOOKUP(B51,TBPI[],COLUMNS(TBPI[[Strand]:[Weight]]),FALSE), IF(AND(career_stage="HP",teacher_type="TB"),VLOOKUP(B51,TBHPI[],COLUMNS(TBHPI[[Strand]:[Weight]]),FALSE),0)))),0)</f>
        <v>0</v>
      </c>
      <c r="U51" s="94" t="s">
        <v>1185</v>
      </c>
      <c r="V51" s="391" t="str">
        <f ca="1">IFERROR(IF($M51,IF(AND(career_stage="P",teacher_type="R"),INDEX(INDIRECT("RPS["&amp;V$10&amp;"]"),MATCH($H51,RPS[helper],0),1), IF(AND(career_stage="HP",teacher_type="R"), INDEX(INDIRECT("RHPS["&amp;V$10&amp;"]"),MATCH($H51,RHPS[helper],0),1), IF(AND(career_stage="P",teacher_type="TB"),INDEX(INDIRECT("TBPS["&amp;V$10&amp;"]"),MATCH($H51,TBPS[helper],0),1), IF(AND(career_stage="HP",teacher_type="TB"),INDEX(INDIRECT("TBHPS["&amp;V$10&amp;"]"),MATCH($H51,TBHPS[helper],0),1),"")))),""),"")</f>
        <v/>
      </c>
      <c r="W51" s="391" t="str">
        <f ca="1">IFERROR(IF($M51,IF(AND(career_stage="P",teacher_type="R"),INDEX(INDIRECT("RPS["&amp;W$10&amp;"]"),MATCH($H51,RPS[helper],0),1), IF(AND(career_stage="HP",teacher_type="R"), INDEX(INDIRECT("RHPS["&amp;W$10&amp;"]"),MATCH($H51,RHPS[helper],0),1), IF(AND(career_stage="P",teacher_type="TB"),INDEX(INDIRECT("TBPS["&amp;W$10&amp;"]"),MATCH($H51,TBPS[helper],0),1), IF(AND(career_stage="HP",teacher_type="TB"),INDEX(INDIRECT("TBHPS["&amp;W$10&amp;"]"),MATCH($H51,TBHPS[helper],0),1),"")))),""),"")</f>
        <v/>
      </c>
      <c r="X51" s="391" t="str">
        <f ca="1">IFERROR(IF($M51,IF(AND(career_stage="P",teacher_type="R"),INDEX(INDIRECT("RPS["&amp;X$10&amp;"]"),MATCH($H51,RPS[helper],0),1), IF(AND(career_stage="HP",teacher_type="R"), INDEX(INDIRECT("RHPS["&amp;X$10&amp;"]"),MATCH($H51,RHPS[helper],0),1), IF(AND(career_stage="P",teacher_type="TB"),INDEX(INDIRECT("TBPS["&amp;X$10&amp;"]"),MATCH($H51,TBPS[helper],0),1), IF(AND(career_stage="HP",teacher_type="TB"),INDEX(INDIRECT("TBHPS["&amp;X$10&amp;"]"),MATCH($H51,TBHPS[helper],0),1),"")))),""),"")</f>
        <v/>
      </c>
      <c r="Y51" s="391" t="str">
        <f ca="1">IFERROR(IF($M51,IF(AND(career_stage="P",teacher_type="R"),INDEX(INDIRECT("RPS["&amp;Y$10&amp;"]"),MATCH($H51,RPS[helper],0),1), IF(AND(career_stage="HP",teacher_type="R"), INDEX(INDIRECT("RHPS["&amp;Y$10&amp;"]"),MATCH($H51,RHPS[helper],0),1), IF(AND(career_stage="P",teacher_type="TB"),INDEX(INDIRECT("TBPS["&amp;Y$10&amp;"]"),MATCH($H51,TBPS[helper],0),1), IF(AND(career_stage="HP",teacher_type="TB"),INDEX(INDIRECT("TBHPS["&amp;Y$10&amp;"]"),MATCH($H51,TBHPS[helper],0),1),"")))),""),"")</f>
        <v/>
      </c>
      <c r="Z51" s="391" t="str">
        <f ca="1">IFERROR(IF($M51,IF(AND(career_stage="P",teacher_type="R"),INDEX(INDIRECT("RPS["&amp;Z$10&amp;"]"),MATCH($H51,RPS[helper],0),1), IF(AND(career_stage="HP",teacher_type="R"), INDEX(INDIRECT("RHPS["&amp;Z$10&amp;"]"),MATCH($H51,RHPS[helper],0),1), IF(AND(career_stage="P",teacher_type="TB"),INDEX(INDIRECT("TBPS["&amp;Z$10&amp;"]"),MATCH($H51,TBPS[helper],0),1), IF(AND(career_stage="HP",teacher_type="TB"),INDEX(INDIRECT("TBHPS["&amp;Z$10&amp;"]"),MATCH($H51,TBHPS[helper],0),1),"")))),""),"")</f>
        <v/>
      </c>
      <c r="AA51" s="392" t="str" cm="1">
        <f t="array" ref="AA51">IFERROR(INDEX(V51:Z51,6-AB51),"")</f>
        <v/>
      </c>
      <c r="AB51" s="680" t="str">
        <f>IF('Encoding Part 1'!AB35="","",'Encoding Part 1'!AB35)</f>
        <v/>
      </c>
      <c r="AC51" s="680" t="str">
        <f>IF('Encoding Part 1'!AC35="","",'Encoding Part 1'!AC35)</f>
        <v/>
      </c>
      <c r="AD51" s="680" t="str">
        <f>IF('Encoding Part 1'!AD35="","",'Encoding Part 1'!AD35)</f>
        <v/>
      </c>
      <c r="AE51" s="682">
        <f t="shared" ref="AE51" si="25">IFERROR(ROUNDDOWN(AVERAGE($AB51:$AD51),3),0)</f>
        <v>0</v>
      </c>
      <c r="AF51" s="661">
        <f t="shared" ref="AF51" si="26">ROUNDDOWN($AE51*$T51,3)</f>
        <v>0</v>
      </c>
      <c r="AG51" s="5"/>
    </row>
    <row r="52" spans="1:33" hidden="1" x14ac:dyDescent="0.25">
      <c r="A52" s="92">
        <v>14</v>
      </c>
      <c r="B52" s="99" t="str" cm="1">
        <f t="array" ref="B52">IFERROR(IF(AND(teacher_type="R",career_stage="P"),INDEX(RPI[Strand],$A52),IF(AND(teacher_type="R",career_stage="HP"),INDEX(RHPI[Strand],$A52), IF(AND(teacher_type="TB",career_stage="P"),INDEX(TBPI[Strand],$A52), IF(AND(teacher_type="TB",career_stage="HP"),INDEX(TBHPI[Strand],$A52),0)))),0)</f>
        <v>3.1.2</v>
      </c>
      <c r="C52" s="99">
        <f>IFERROR(IF(AND(teacher_type="R",career_stage="P"),VLOOKUP($B52,RPI[[Strand]:[Domain]],COLUMNS(RPI[[Strand]:[Domain]]),FALSE), IF(AND(teacher_type="R",career_stage="HP"),VLOOKUP($B52,RHPI[[Strand]:[Domain]],COLUMNS(RHPI[[Strand]:[Domain]]),FALSE), IF(AND(teacher_type="TB",career_stage="P"),VLOOKUP($B52,TBPI[[Strand]:[Domain]],COLUMNS(TBPI[[Strand]:[Domain]]),FALSE), IF(AND(teacher_type="TB",career_stage="HP"),VLOOKUP($B52,TBHPI[[Strand]:[Domain]],COLUMNS(TBHPI[[Strand]:[Domain]]),FALSE),"")))),"")</f>
        <v>2</v>
      </c>
      <c r="D52" s="99" t="b">
        <f>IFERROR(IF(AND(career_stage="P",teacher_type="R"),VLOOKUP(B52,RPI[],COLUMNS(RPI[[Strand]:[Selected]]),FALSE), IF(AND(career_stage="HP",teacher_type="R"),VLOOKUP(B52,RHPI[],COLUMNS(RHPI[[Strand]:[Selected]]),FALSE), IF(AND(career_stage="P",teacher_type="TB"),VLOOKUP(B52,TBPI[],COLUMNS(TBPI[[Strand]:[Selected]]),FALSE), IF(AND(career_stage="HP",teacher_type="TB"),VLOOKUP(B52,TBHPI[],COLUMNS(TBHPI[[Strand]:[Selected]]),FALSE),FALSE)))),FALSE)</f>
        <v>0</v>
      </c>
      <c r="E52" s="92" t="b">
        <f>COUNTIFS($C$12:$C52,C52,$D$12:$D52,TRUE)=1</f>
        <v>0</v>
      </c>
      <c r="F52" s="92" t="b">
        <f>COUNTIFS($C$12:$C52,$C52,$B$12:$B52,$B52,$D$12:$D52,TRUE)=1</f>
        <v>0</v>
      </c>
      <c r="G52" s="99">
        <f>IF($F52,COUNTIFS($C$12:$C52,C52,$F$12:$F52,TRUE),0)</f>
        <v>0</v>
      </c>
      <c r="H52" s="99" t="str">
        <f t="shared" si="0"/>
        <v>3.1.2-E</v>
      </c>
      <c r="I52" s="99">
        <f>IF(AND(D52,NOT($A52=$A51)),(COUNTIF($D$11:$D51,TRUE)/3)+1,0)</f>
        <v>0</v>
      </c>
      <c r="J52" s="99" t="s">
        <v>1073</v>
      </c>
      <c r="K52" s="99" t="b">
        <f>IF(AND(teacher_type="R",career_stage="P"),IF(AND(COUNTIFS(RPS[Strand],$B52,RPS[QET],$J52)&gt;0,$D52),TRUE,FALSE), IF(AND(teacher_type="R",career_stage="HP"),IF(AND(COUNTIFS(RHPS[Strand],$B52,RHPS[QET],$J52)&gt;0,$D52),TRUE,FALSE), IF(AND(teacher_type="TB",career_stage="P"),IF(AND(COUNTIFS(TBPS[Strand],$B52,TBPS[QET],$J52)&gt;0,$D52),TRUE,FALSE), IF(AND(teacher_type="TB",career_stage="HP"),IF(AND(COUNTIFS(TBHPS[Strand],$B52,TBHPS[QET],$J52)&gt;0,$D52),TRUE,FALSE),FALSE))))</f>
        <v>0</v>
      </c>
      <c r="L52" s="99" t="str">
        <f>IF($K52,IF(AND(teacher_type="R",career_stage="P"),VLOOKUP($B52,RPI[],COLUMNS(RPI[[Strand]:[user_selected_coi_ncoi]]),FALSE), IF(AND(teacher_type="R",career_stage="HP"),VLOOKUP($B52,RHPI[],COLUMNS(RHPI[[Strand]:[user_selected_coi_ncoi]]),FALSE), IF(AND(teacher_type="TB",career_stage="P"),VLOOKUP($B52,TBPI[],COLUMNS(TBPI[[Strand]:[user_selected_coi_ncoi]]),FALSE), IF(AND(teacher_type="TB",career_stage="HP"),VLOOKUP($B52,TBHPI[],COLUMNS(TBHPI[[Strand]:[user_selected_coi_ncoi]]),FALSE),"")))),"")</f>
        <v/>
      </c>
      <c r="M52" s="99" t="b">
        <f>IF(AND(teacher_type="R",career_stage="P"),IF(AND(COUNTIFS(RPS[Strand],$B52,RPS[QET],M$11)&gt;0,$D52),TRUE,FALSE),IF(AND(teacher_type="R",career_stage="HP"),IF(AND(COUNTIFS(RHPS[Strand],$B52,RHPS[QET],M$11)&gt;0,$D52),TRUE,FALSE), IF(AND(teacher_type="TB",career_stage="P"),IF(AND(COUNTIFS(TBPS[Strand],$B52,TBPS[QET],M$11)&gt;0,$D52),TRUE,FALSE), IF(AND(teacher_type="TB",career_stage="HP"),IF(AND(COUNTIFS(TBHPS[Strand],$B52,TBHPS[QET],M$11)&gt;0,$D52),TRUE,FALSE),FALSE))))</f>
        <v>0</v>
      </c>
      <c r="N52" s="99" t="b">
        <f>IF(AND(teacher_type="R",career_stage="P"),IF(AND(COUNTIFS(RPS[Strand],$B52,RPS[QET],N$11)&gt;0,$D52),TRUE,FALSE),IF(AND(teacher_type="R",career_stage="HP"),IF(AND(COUNTIFS(RHPS[Strand],$B52,RHPS[QET],N$11)&gt;0,$D52),TRUE,FALSE), IF(AND(teacher_type="TB",career_stage="P"),IF(AND(COUNTIFS(TBPS[Strand],$B52,TBPS[QET],N$11)&gt;0,$D52),TRUE,FALSE), IF(AND(teacher_type="TB",career_stage="HP"),IF(AND(COUNTIFS(TBHPS[Strand],$B52,TBHPS[QET],N$11)&gt;0,$D52),TRUE,FALSE),FALSE))))</f>
        <v>0</v>
      </c>
      <c r="O52" s="99" t="b">
        <f>IF(AND(teacher_type="R",career_stage="P"),IF(AND(COUNTIFS(RPS[Strand],$B52,RPS[QET],O$11)&gt;0,$D52),TRUE,FALSE),IF(AND(teacher_type="R",career_stage="HP"),IF(AND(COUNTIFS(RHPS[Strand],$B52,RHPS[QET],O$11)&gt;0,$D52),TRUE,FALSE), IF(AND(teacher_type="TB",career_stage="P"),IF(AND(COUNTIFS(TBPS[Strand],$B52,TBPS[QET],O$11)&gt;0,$D52),TRUE,FALSE), IF(AND(teacher_type="TB",career_stage="HP"),IF(AND(COUNTIFS(TBHPS[Strand],$B52,TBHPS[QET],O$11)&gt;0,$D52),TRUE,FALSE),FALSE))))</f>
        <v>0</v>
      </c>
      <c r="P52" s="710"/>
      <c r="Q52" s="662"/>
      <c r="R52" s="663"/>
      <c r="S52" s="664"/>
      <c r="T52" s="678"/>
      <c r="U52" s="94" t="s">
        <v>1186</v>
      </c>
      <c r="V52" s="391" t="str">
        <f ca="1">IFERROR(IF($N52,IF(AND(career_stage="P",teacher_type="R"),INDEX(INDIRECT("RPS["&amp;V$10&amp;"]"),MATCH($H52,RPS[helper],0),1), IF(AND(career_stage="HP",teacher_type="R"), INDEX(INDIRECT("RHPS["&amp;V$10&amp;"]"),MATCH($H52,RHPS[helper],0),1), IF(AND(career_stage="P",teacher_type="TB"),INDEX(INDIRECT("TBPS["&amp;V$10&amp;"]"),MATCH($H52,TBPS[helper],0),1), IF(AND(career_stage="HP",teacher_type="TB"),INDEX(INDIRECT("TBHPS["&amp;V$10&amp;"]"),MATCH($H52,TBHPS[helper],0),1),"")))),""),"")</f>
        <v/>
      </c>
      <c r="W52" s="391" t="str">
        <f ca="1">IFERROR(IF($N52,IF(AND(career_stage="P",teacher_type="R"),INDEX(INDIRECT("RPS["&amp;W$10&amp;"]"),MATCH($H52,RPS[helper],0),1), IF(AND(career_stage="HP",teacher_type="R"), INDEX(INDIRECT("RHPS["&amp;W$10&amp;"]"),MATCH($H52,RHPS[helper],0),1), IF(AND(career_stage="P",teacher_type="TB"),INDEX(INDIRECT("TBPS["&amp;W$10&amp;"]"),MATCH($H52,TBPS[helper],0),1), IF(AND(career_stage="HP",teacher_type="TB"),INDEX(INDIRECT("TBHPS["&amp;W$10&amp;"]"),MATCH($H52,TBHPS[helper],0),1),"")))),""),"")</f>
        <v/>
      </c>
      <c r="X52" s="391" t="str">
        <f ca="1">IFERROR(IF($N52,IF(AND(career_stage="P",teacher_type="R"),INDEX(INDIRECT("RPS["&amp;X$10&amp;"]"),MATCH($H52,RPS[helper],0),1), IF(AND(career_stage="HP",teacher_type="R"), INDEX(INDIRECT("RHPS["&amp;X$10&amp;"]"),MATCH($H52,RHPS[helper],0),1), IF(AND(career_stage="P",teacher_type="TB"),INDEX(INDIRECT("TBPS["&amp;X$10&amp;"]"),MATCH($H52,TBPS[helper],0),1), IF(AND(career_stage="HP",teacher_type="TB"),INDEX(INDIRECT("TBHPS["&amp;X$10&amp;"]"),MATCH($H52,TBHPS[helper],0),1),"")))),""),"")</f>
        <v/>
      </c>
      <c r="Y52" s="391" t="str">
        <f ca="1">IFERROR(IF($N52,IF(AND(career_stage="P",teacher_type="R"),INDEX(INDIRECT("RPS["&amp;Y$10&amp;"]"),MATCH($H52,RPS[helper],0),1), IF(AND(career_stage="HP",teacher_type="R"), INDEX(INDIRECT("RHPS["&amp;Y$10&amp;"]"),MATCH($H52,RHPS[helper],0),1), IF(AND(career_stage="P",teacher_type="TB"),INDEX(INDIRECT("TBPS["&amp;Y$10&amp;"]"),MATCH($H52,TBPS[helper],0),1), IF(AND(career_stage="HP",teacher_type="TB"),INDEX(INDIRECT("TBHPS["&amp;Y$10&amp;"]"),MATCH($H52,TBHPS[helper],0),1),"")))),""),"")</f>
        <v/>
      </c>
      <c r="Z52" s="391" t="str">
        <f ca="1">IFERROR(IF($N52,IF(AND(career_stage="P",teacher_type="R"),INDEX(INDIRECT("RPS["&amp;Z$10&amp;"]"),MATCH($H52,RPS[helper],0),1), IF(AND(career_stage="HP",teacher_type="R"), INDEX(INDIRECT("RHPS["&amp;Z$10&amp;"]"),MATCH($H52,RHPS[helper],0),1), IF(AND(career_stage="P",teacher_type="TB"),INDEX(INDIRECT("TBPS["&amp;Z$10&amp;"]"),MATCH($H52,TBPS[helper],0),1), IF(AND(career_stage="HP",teacher_type="TB"),INDEX(INDIRECT("TBHPS["&amp;Z$10&amp;"]"),MATCH($H52,TBHPS[helper],0),1),"")))),""),"")</f>
        <v/>
      </c>
      <c r="AA52" s="392" t="str" cm="1">
        <f t="array" ref="AA52">IFERROR(INDEX(V52:Z52,6-AC51),"")</f>
        <v/>
      </c>
      <c r="AB52" s="680"/>
      <c r="AC52" s="680"/>
      <c r="AD52" s="680"/>
      <c r="AE52" s="682"/>
      <c r="AF52" s="661"/>
      <c r="AG52" s="5"/>
    </row>
    <row r="53" spans="1:33" hidden="1" x14ac:dyDescent="0.25">
      <c r="A53" s="92">
        <v>14</v>
      </c>
      <c r="B53" s="99" t="str" cm="1">
        <f t="array" ref="B53">IFERROR(IF(AND(teacher_type="R",career_stage="P"),INDEX(RPI[Strand],$A53),IF(AND(teacher_type="R",career_stage="HP"),INDEX(RHPI[Strand],$A53), IF(AND(teacher_type="TB",career_stage="P"),INDEX(TBPI[Strand],$A53), IF(AND(teacher_type="TB",career_stage="HP"),INDEX(TBHPI[Strand],$A53),0)))),0)</f>
        <v>3.1.2</v>
      </c>
      <c r="C53" s="99">
        <f>IFERROR(IF(AND(teacher_type="R",career_stage="P"),VLOOKUP($B53,RPI[[Strand]:[Domain]],COLUMNS(RPI[[Strand]:[Domain]]),FALSE), IF(AND(teacher_type="R",career_stage="HP"),VLOOKUP($B53,RHPI[[Strand]:[Domain]],COLUMNS(RHPI[[Strand]:[Domain]]),FALSE), IF(AND(teacher_type="TB",career_stage="P"),VLOOKUP($B53,TBPI[[Strand]:[Domain]],COLUMNS(TBPI[[Strand]:[Domain]]),FALSE), IF(AND(teacher_type="TB",career_stage="HP"),VLOOKUP($B53,TBHPI[[Strand]:[Domain]],COLUMNS(TBHPI[[Strand]:[Domain]]),FALSE),"")))),"")</f>
        <v>2</v>
      </c>
      <c r="D53" s="99" t="b">
        <f>IFERROR(IF(AND(career_stage="P",teacher_type="R"),VLOOKUP(B53,RPI[],COLUMNS(RPI[[Strand]:[Selected]]),FALSE), IF(AND(career_stage="HP",teacher_type="R"),VLOOKUP(B53,RHPI[],COLUMNS(RHPI[[Strand]:[Selected]]),FALSE), IF(AND(career_stage="P",teacher_type="TB"),VLOOKUP(B53,TBPI[],COLUMNS(TBPI[[Strand]:[Selected]]),FALSE), IF(AND(career_stage="HP",teacher_type="TB"),VLOOKUP(B53,TBHPI[],COLUMNS(TBHPI[[Strand]:[Selected]]),FALSE),FALSE)))),FALSE)</f>
        <v>0</v>
      </c>
      <c r="E53" s="92" t="b">
        <f>COUNTIFS($C$12:$C53,C53,$D$12:$D53,TRUE)=1</f>
        <v>0</v>
      </c>
      <c r="F53" s="92" t="b">
        <f>COUNTIFS($C$12:$C53,$C53,$B$12:$B53,$B53,$D$12:$D53,TRUE)=1</f>
        <v>0</v>
      </c>
      <c r="G53" s="99">
        <f>IF($F53,COUNTIFS($C$12:$C53,C53,$F$12:$F53,TRUE),0)</f>
        <v>0</v>
      </c>
      <c r="H53" s="99" t="str">
        <f t="shared" si="0"/>
        <v>3.1.2-T</v>
      </c>
      <c r="I53" s="99">
        <f>IF(AND(D53,NOT($A53=$A52)),(COUNTIF($D$11:$D52,TRUE)/3)+1,0)</f>
        <v>0</v>
      </c>
      <c r="J53" s="99" t="s">
        <v>1014</v>
      </c>
      <c r="K53" s="99" t="b">
        <f>IF(AND(teacher_type="R",career_stage="P"),IF(AND(COUNTIFS(RPS[Strand],$B53,RPS[QET],$J53)&gt;0,$D53),TRUE,FALSE), IF(AND(teacher_type="R",career_stage="HP"),IF(AND(COUNTIFS(RHPS[Strand],$B53,RHPS[QET],$J53)&gt;0,$D53),TRUE,FALSE), IF(AND(teacher_type="TB",career_stage="P"),IF(AND(COUNTIFS(TBPS[Strand],$B53,TBPS[QET],$J53)&gt;0,$D53),TRUE,FALSE), IF(AND(teacher_type="TB",career_stage="HP"),IF(AND(COUNTIFS(TBHPS[Strand],$B53,TBHPS[QET],$J53)&gt;0,$D53),TRUE,FALSE),FALSE))))</f>
        <v>0</v>
      </c>
      <c r="L53" s="99" t="str">
        <f>IF($K53,IF(AND(teacher_type="R",career_stage="P"),VLOOKUP($B53,RPI[],COLUMNS(RPI[[Strand]:[user_selected_coi_ncoi]]),FALSE), IF(AND(teacher_type="R",career_stage="HP"),VLOOKUP($B53,RHPI[],COLUMNS(RHPI[[Strand]:[user_selected_coi_ncoi]]),FALSE), IF(AND(teacher_type="TB",career_stage="P"),VLOOKUP($B53,TBPI[],COLUMNS(TBPI[[Strand]:[user_selected_coi_ncoi]]),FALSE), IF(AND(teacher_type="TB",career_stage="HP"),VLOOKUP($B53,TBHPI[],COLUMNS(TBHPI[[Strand]:[user_selected_coi_ncoi]]),FALSE),"")))),"")</f>
        <v/>
      </c>
      <c r="M53" s="99" t="b">
        <f>IF(AND(teacher_type="R",career_stage="P"),IF(AND(COUNTIFS(RPS[Strand],$B53,RPS[QET],M$11)&gt;0,$D53),TRUE,FALSE),IF(AND(teacher_type="R",career_stage="HP"),IF(AND(COUNTIFS(RHPS[Strand],$B53,RHPS[QET],M$11)&gt;0,$D53),TRUE,FALSE), IF(AND(teacher_type="TB",career_stage="P"),IF(AND(COUNTIFS(TBPS[Strand],$B53,TBPS[QET],M$11)&gt;0,$D53),TRUE,FALSE), IF(AND(teacher_type="TB",career_stage="HP"),IF(AND(COUNTIFS(TBHPS[Strand],$B53,TBHPS[QET],M$11)&gt;0,$D53),TRUE,FALSE),FALSE))))</f>
        <v>0</v>
      </c>
      <c r="N53" s="99" t="b">
        <f>IF(AND(teacher_type="R",career_stage="P"),IF(AND(COUNTIFS(RPS[Strand],$B53,RPS[QET],N$11)&gt;0,$D53),TRUE,FALSE),IF(AND(teacher_type="R",career_stage="HP"),IF(AND(COUNTIFS(RHPS[Strand],$B53,RHPS[QET],N$11)&gt;0,$D53),TRUE,FALSE), IF(AND(teacher_type="TB",career_stage="P"),IF(AND(COUNTIFS(TBPS[Strand],$B53,TBPS[QET],N$11)&gt;0,$D53),TRUE,FALSE), IF(AND(teacher_type="TB",career_stage="HP"),IF(AND(COUNTIFS(TBHPS[Strand],$B53,TBHPS[QET],N$11)&gt;0,$D53),TRUE,FALSE),FALSE))))</f>
        <v>0</v>
      </c>
      <c r="O53" s="99" t="b">
        <f>IF(AND(teacher_type="R",career_stage="P"),IF(AND(COUNTIFS(RPS[Strand],$B53,RPS[QET],O$11)&gt;0,$D53),TRUE,FALSE),IF(AND(teacher_type="R",career_stage="HP"),IF(AND(COUNTIFS(RHPS[Strand],$B53,RHPS[QET],O$11)&gt;0,$D53),TRUE,FALSE), IF(AND(teacher_type="TB",career_stage="P"),IF(AND(COUNTIFS(TBPS[Strand],$B53,TBPS[QET],O$11)&gt;0,$D53),TRUE,FALSE), IF(AND(teacher_type="TB",career_stage="HP"),IF(AND(COUNTIFS(TBHPS[Strand],$B53,TBHPS[QET],O$11)&gt;0,$D53),TRUE,FALSE),FALSE))))</f>
        <v>0</v>
      </c>
      <c r="P53" s="710"/>
      <c r="Q53" s="662"/>
      <c r="R53" s="663"/>
      <c r="S53" s="664"/>
      <c r="T53" s="678"/>
      <c r="U53" s="94" t="s">
        <v>1187</v>
      </c>
      <c r="V53" s="391" t="str">
        <f ca="1">IFERROR(IF($O53,IF(AND(career_stage="P",teacher_type="R"),INDEX(INDIRECT("RPS["&amp;V$10&amp;"]"),MATCH($H53,RPS[helper],0),1), IF(AND(career_stage="HP",teacher_type="R"), INDEX(INDIRECT("RHPS["&amp;V$10&amp;"]"),MATCH($H53,RHPS[helper],0),1), IF(AND(career_stage="P",teacher_type="TB"),INDEX(INDIRECT("TBPS["&amp;V$10&amp;"]"),MATCH($H53,TBPS[helper],0),1), IF(AND(career_stage="HP",teacher_type="TB"),INDEX(INDIRECT("TBHPS["&amp;V$10&amp;"]"),MATCH($H53,TBHPS[helper],0),1),"")))),""),"")</f>
        <v/>
      </c>
      <c r="W53" s="391" t="str">
        <f ca="1">IFERROR(IF($O53,IF(AND(career_stage="P",teacher_type="R"),INDEX(INDIRECT("RPS["&amp;W$10&amp;"]"),MATCH($H53,RPS[helper],0),1), IF(AND(career_stage="HP",teacher_type="R"), INDEX(INDIRECT("RHPS["&amp;W$10&amp;"]"),MATCH($H53,RHPS[helper],0),1), IF(AND(career_stage="P",teacher_type="TB"),INDEX(INDIRECT("TBPS["&amp;W$10&amp;"]"),MATCH($H53,TBPS[helper],0),1), IF(AND(career_stage="HP",teacher_type="TB"),INDEX(INDIRECT("TBHPS["&amp;W$10&amp;"]"),MATCH($H53,TBHPS[helper],0),1),"")))),""),"")</f>
        <v/>
      </c>
      <c r="X53" s="391" t="str">
        <f ca="1">IFERROR(IF($O53,IF(AND(career_stage="P",teacher_type="R"),INDEX(INDIRECT("RPS["&amp;X$10&amp;"]"),MATCH($H53,RPS[helper],0),1), IF(AND(career_stage="HP",teacher_type="R"), INDEX(INDIRECT("RHPS["&amp;X$10&amp;"]"),MATCH($H53,RHPS[helper],0),1), IF(AND(career_stage="P",teacher_type="TB"),INDEX(INDIRECT("TBPS["&amp;X$10&amp;"]"),MATCH($H53,TBPS[helper],0),1), IF(AND(career_stage="HP",teacher_type="TB"),INDEX(INDIRECT("TBHPS["&amp;X$10&amp;"]"),MATCH($H53,TBHPS[helper],0),1),"")))),""),"")</f>
        <v/>
      </c>
      <c r="Y53" s="391" t="str">
        <f ca="1">IFERROR(IF($O53,IF(AND(career_stage="P",teacher_type="R"),INDEX(INDIRECT("RPS["&amp;Y$10&amp;"]"),MATCH($H53,RPS[helper],0),1), IF(AND(career_stage="HP",teacher_type="R"), INDEX(INDIRECT("RHPS["&amp;Y$10&amp;"]"),MATCH($H53,RHPS[helper],0),1), IF(AND(career_stage="P",teacher_type="TB"),INDEX(INDIRECT("TBPS["&amp;Y$10&amp;"]"),MATCH($H53,TBPS[helper],0),1), IF(AND(career_stage="HP",teacher_type="TB"),INDEX(INDIRECT("TBHPS["&amp;Y$10&amp;"]"),MATCH($H53,TBHPS[helper],0),1),"")))),""),"")</f>
        <v/>
      </c>
      <c r="Z53" s="391" t="str">
        <f ca="1">IFERROR(IF($O53,IF(AND(career_stage="P",teacher_type="R"),INDEX(INDIRECT("RPS["&amp;Z$10&amp;"]"),MATCH($H53,RPS[helper],0),1), IF(AND(career_stage="HP",teacher_type="R"), INDEX(INDIRECT("RHPS["&amp;Z$10&amp;"]"),MATCH($H53,RHPS[helper],0),1), IF(AND(career_stage="P",teacher_type="TB"),INDEX(INDIRECT("TBPS["&amp;Z$10&amp;"]"),MATCH($H53,TBPS[helper],0),1), IF(AND(career_stage="HP",teacher_type="TB"),INDEX(INDIRECT("TBHPS["&amp;Z$10&amp;"]"),MATCH($H53,TBHPS[helper],0),1),"")))),""),"")</f>
        <v/>
      </c>
      <c r="AA53" s="391" t="str" cm="1">
        <f t="array" ref="AA53">IFERROR(INDEX(V53:Z53,6-AD51),"")</f>
        <v/>
      </c>
      <c r="AB53" s="680"/>
      <c r="AC53" s="680"/>
      <c r="AD53" s="680"/>
      <c r="AE53" s="682"/>
      <c r="AF53" s="661"/>
      <c r="AG53" s="5"/>
    </row>
    <row r="54" spans="1:33" ht="76.5" x14ac:dyDescent="0.25">
      <c r="A54" s="92">
        <v>15</v>
      </c>
      <c r="B54" s="99" t="str" cm="1">
        <f t="array" ref="B54">IFERROR(IF(AND(teacher_type="R",career_stage="P"),INDEX(RPI[Strand],$A54),IF(AND(teacher_type="R",career_stage="HP"),INDEX(RHPI[Strand],$A54), IF(AND(teacher_type="TB",career_stage="P"),INDEX(TBPI[Strand],$A54), IF(AND(teacher_type="TB",career_stage="HP"),INDEX(TBHPI[Strand],$A54),0)))),0)</f>
        <v>3.2.2</v>
      </c>
      <c r="C54" s="99">
        <f>IFERROR(IF(AND(teacher_type="R",career_stage="P"),VLOOKUP($B54,RPI[[Strand]:[Domain]],COLUMNS(RPI[[Strand]:[Domain]]),FALSE), IF(AND(teacher_type="R",career_stage="HP"),VLOOKUP($B54,RHPI[[Strand]:[Domain]],COLUMNS(RHPI[[Strand]:[Domain]]),FALSE), IF(AND(teacher_type="TB",career_stage="P"),VLOOKUP($B54,TBPI[[Strand]:[Domain]],COLUMNS(TBPI[[Strand]:[Domain]]),FALSE), IF(AND(teacher_type="TB",career_stage="HP"),VLOOKUP($B54,TBHPI[[Strand]:[Domain]],COLUMNS(TBHPI[[Strand]:[Domain]]),FALSE),"")))),"")</f>
        <v>2</v>
      </c>
      <c r="D54" s="99" t="b">
        <f>IFERROR(IF(AND(career_stage="P",teacher_type="R"),VLOOKUP(B54,RPI[],COLUMNS(RPI[[Strand]:[Selected]]),FALSE), IF(AND(career_stage="HP",teacher_type="R"),VLOOKUP(B54,RHPI[],COLUMNS(RHPI[[Strand]:[Selected]]),FALSE), IF(AND(career_stage="P",teacher_type="TB"),VLOOKUP(B54,TBPI[],COLUMNS(TBPI[[Strand]:[Selected]]),FALSE), IF(AND(career_stage="HP",teacher_type="TB"),VLOOKUP(B54,TBHPI[],COLUMNS(TBHPI[[Strand]:[Selected]]),FALSE),FALSE)))),FALSE)</f>
        <v>1</v>
      </c>
      <c r="E54" s="92" t="b">
        <f>COUNTIFS($C$12:$C54,C54,$D$12:$D54,TRUE)=1</f>
        <v>0</v>
      </c>
      <c r="F54" s="92" t="b">
        <f>COUNTIFS($C$12:$C54,$C54,$B$12:$B54,$B54,$D$12:$D54,TRUE)=1</f>
        <v>1</v>
      </c>
      <c r="G54" s="99">
        <f>IF($F54,COUNTIFS($C$12:$C54,C54,$F$12:$F54,TRUE),0)</f>
        <v>3</v>
      </c>
      <c r="H54" s="99" t="str">
        <f t="shared" si="0"/>
        <v>3.2.2-Q-COI</v>
      </c>
      <c r="I54" s="99">
        <f>IF(AND(D54,NOT($A54=$A53)),(COUNTIF($D$11:$D53,TRUE)/3)+1,0)</f>
        <v>7</v>
      </c>
      <c r="J54" s="99" t="s">
        <v>1012</v>
      </c>
      <c r="K54" s="99" t="b">
        <f>IF(AND(teacher_type="R",career_stage="P"),IF(AND(COUNTIFS(RPS[Strand],$B54,RPS[QET],$J54)&gt;0,$D54),TRUE,FALSE), IF(AND(teacher_type="R",career_stage="HP"),IF(AND(COUNTIFS(RHPS[Strand],$B54,RHPS[QET],$J54)&gt;0,$D54),TRUE,FALSE), IF(AND(teacher_type="TB",career_stage="P"),IF(AND(COUNTIFS(TBPS[Strand],$B54,TBPS[QET],$J54)&gt;0,$D54),TRUE,FALSE), IF(AND(teacher_type="TB",career_stage="HP"),IF(AND(COUNTIFS(TBHPS[Strand],$B54,TBHPS[QET],$J54)&gt;0,$D54),TRUE,FALSE),FALSE))))</f>
        <v>1</v>
      </c>
      <c r="L54" s="99" t="str">
        <f>IF($K54,IF(AND(teacher_type="R",career_stage="P"),VLOOKUP($B54,RPI[],COLUMNS(RPI[[Strand]:[user_selected_coi_ncoi]]),FALSE), IF(AND(teacher_type="R",career_stage="HP"),VLOOKUP($B54,RHPI[],COLUMNS(RHPI[[Strand]:[user_selected_coi_ncoi]]),FALSE), IF(AND(teacher_type="TB",career_stage="P"),VLOOKUP($B54,TBPI[],COLUMNS(TBPI[[Strand]:[user_selected_coi_ncoi]]),FALSE), IF(AND(teacher_type="TB",career_stage="HP"),VLOOKUP($B54,TBHPI[],COLUMNS(TBHPI[[Strand]:[user_selected_coi_ncoi]]),FALSE),"")))),"")</f>
        <v>COI</v>
      </c>
      <c r="M54" s="99" t="b">
        <f>IF(AND(teacher_type="R",career_stage="P"),IF(AND(COUNTIFS(RPS[Strand],$B54,RPS[QET],M$11)&gt;0,$D54),TRUE,FALSE),IF(AND(teacher_type="R",career_stage="HP"),IF(AND(COUNTIFS(RHPS[Strand],$B54,RHPS[QET],M$11)&gt;0,$D54),TRUE,FALSE), IF(AND(teacher_type="TB",career_stage="P"),IF(AND(COUNTIFS(TBPS[Strand],$B54,TBPS[QET],M$11)&gt;0,$D54),TRUE,FALSE), IF(AND(teacher_type="TB",career_stage="HP"),IF(AND(COUNTIFS(TBHPS[Strand],$B54,TBHPS[QET],M$11)&gt;0,$D54),TRUE,FALSE),FALSE))))</f>
        <v>1</v>
      </c>
      <c r="N54" s="99" t="b">
        <f>IF(AND(teacher_type="R",career_stage="P"),IF(AND(COUNTIFS(RPS[Strand],$B54,RPS[QET],N$11)&gt;0,$D54),TRUE,FALSE),IF(AND(teacher_type="R",career_stage="HP"),IF(AND(COUNTIFS(RHPS[Strand],$B54,RHPS[QET],N$11)&gt;0,$D54),TRUE,FALSE), IF(AND(teacher_type="TB",career_stage="P"),IF(AND(COUNTIFS(TBPS[Strand],$B54,TBPS[QET],N$11)&gt;0,$D54),TRUE,FALSE), IF(AND(teacher_type="TB",career_stage="HP"),IF(AND(COUNTIFS(TBHPS[Strand],$B54,TBHPS[QET],N$11)&gt;0,$D54),TRUE,FALSE),FALSE))))</f>
        <v>1</v>
      </c>
      <c r="O54" s="99" t="b">
        <f>IF(AND(teacher_type="R",career_stage="P"),IF(AND(COUNTIFS(RPS[Strand],$B54,RPS[QET],O$11)&gt;0,$D54),TRUE,FALSE),IF(AND(teacher_type="R",career_stage="HP"),IF(AND(COUNTIFS(RHPS[Strand],$B54,RHPS[QET],O$11)&gt;0,$D54),TRUE,FALSE), IF(AND(teacher_type="TB",career_stage="P"),IF(AND(COUNTIFS(TBPS[Strand],$B54,TBPS[QET],O$11)&gt;0,$D54),TRUE,FALSE), IF(AND(teacher_type="TB",career_stage="HP"),IF(AND(COUNTIFS(TBHPS[Strand],$B54,TBHPS[QET],O$11)&gt;0,$D54),TRUE,FALSE),FALSE))))</f>
        <v>0</v>
      </c>
      <c r="P54" s="710"/>
      <c r="Q54" s="662" t="str">
        <f>IFERROR(IF(E54,IF(C54="Plus Factor","Plus Factor",C54 &amp; ". " &amp; INDEX(Domains[Domain],MATCH(C54,Domains[Domain_code],0),1)),""),"")</f>
        <v/>
      </c>
      <c r="R54" s="663" t="str">
        <f>IFERROR(IF($F54,$I54 &amp; ". " &amp; IF(AND(career_stage="P",teacher_type="R"), INDEX(RPI[PPST Indicators],MATCH($B54,RPI[Strand],0),1), IF(AND(career_stage="HP",teacher_type="R"),INDEX(RHPI[PPST Indicators],MATCH($B54,RHPI[Strand],0),1), IF(AND(career_stage="P",teacher_type="TB"),INDEX(TBPI[PPST Indicators],MATCH($B54,TBPI[Strand],0),1), IF(AND(career_stage="HP",teacher_type="TB"),INDEX(TBHPI[PPST Indicators],MATCH($B54,TBHPI[Strand],0),1),"")))) &amp; IF(NOT(TRIM(LOWER($C54))="plus factor")," (PPST "&amp;B54&amp;")",""),""),"")</f>
        <v>7. Established a learner- centered culture by using teaching strategies that respond to their linguistic, cultural, socioeconomic and religious backgrounds (PPST 3.2.2)</v>
      </c>
      <c r="S54" s="664" t="str" cm="1">
        <f t="array" ref="S54">demographics[rating_period]</f>
        <v>SY 2023-2024</v>
      </c>
      <c r="T54" s="678">
        <f>IFERROR(IF(AND(career_stage="P",teacher_type="R"),VLOOKUP(B54,RPI[],COLUMNS(RPI[[Strand]:[Weight]]),FALSE), IF(AND(career_stage="HP",teacher_type="R"),VLOOKUP(B54,RHPI[],COLUMNS(RHPI[[Strand]:[Weight]]),FALSE), IF(AND(career_stage="P",teacher_type="TB"),VLOOKUP(B54,TBPI[],COLUMNS(TBPI[[Strand]:[Weight]]),FALSE), IF(AND(career_stage="HP",teacher_type="TB"),VLOOKUP(B54,TBHPI[],COLUMNS(TBHPI[[Strand]:[Weight]]),FALSE),0)))),0)</f>
        <v>7.0000000000000007E-2</v>
      </c>
      <c r="U54" s="94" t="s">
        <v>1185</v>
      </c>
      <c r="V54" s="391" t="str">
        <f ca="1">IFERROR(IF($M54,IF(AND(career_stage="P",teacher_type="R"),INDEX(INDIRECT("RPS["&amp;V$10&amp;"]"),MATCH($H54,RPS[helper],0),1), IF(AND(career_stage="HP",teacher_type="R"), INDEX(INDIRECT("RHPS["&amp;V$10&amp;"]"),MATCH($H54,RHPS[helper],0),1), IF(AND(career_stage="P",teacher_type="TB"),INDEX(INDIRECT("TBPS["&amp;V$10&amp;"]"),MATCH($H54,TBPS[helper],0),1), IF(AND(career_stage="HP",teacher_type="TB"),INDEX(INDIRECT("TBHPS["&amp;V$10&amp;"]"),MATCH($H54,TBHPS[helper],0),1),"")))),""),"")</f>
        <v>Demonstrated Level 7 as shown in COT rating sheets/inter- observer agreement forms</v>
      </c>
      <c r="W54" s="391" t="str">
        <f ca="1">IFERROR(IF($M54,IF(AND(career_stage="P",teacher_type="R"),INDEX(INDIRECT("RPS["&amp;W$10&amp;"]"),MATCH($H54,RPS[helper],0),1), IF(AND(career_stage="HP",teacher_type="R"), INDEX(INDIRECT("RHPS["&amp;W$10&amp;"]"),MATCH($H54,RHPS[helper],0),1), IF(AND(career_stage="P",teacher_type="TB"),INDEX(INDIRECT("TBPS["&amp;W$10&amp;"]"),MATCH($H54,TBPS[helper],0),1), IF(AND(career_stage="HP",teacher_type="TB"),INDEX(INDIRECT("TBHPS["&amp;W$10&amp;"]"),MATCH($H54,TBHPS[helper],0),1),"")))),""),"")</f>
        <v>Demonstrated Level 6 as shown in COT rating sheets/inter- observer agreement forms</v>
      </c>
      <c r="X54" s="391" t="str">
        <f ca="1">IFERROR(IF($M54,IF(AND(career_stage="P",teacher_type="R"),INDEX(INDIRECT("RPS["&amp;X$10&amp;"]"),MATCH($H54,RPS[helper],0),1), IF(AND(career_stage="HP",teacher_type="R"), INDEX(INDIRECT("RHPS["&amp;X$10&amp;"]"),MATCH($H54,RHPS[helper],0),1), IF(AND(career_stage="P",teacher_type="TB"),INDEX(INDIRECT("TBPS["&amp;X$10&amp;"]"),MATCH($H54,TBPS[helper],0),1), IF(AND(career_stage="HP",teacher_type="TB"),INDEX(INDIRECT("TBHPS["&amp;X$10&amp;"]"),MATCH($H54,TBHPS[helper],0),1),"")))),""),"")</f>
        <v>Demonstrated Level 5 as shown in COT rating sheets/inter- observer agreement forms</v>
      </c>
      <c r="Y54" s="391" t="str">
        <f ca="1">IFERROR(IF($M54,IF(AND(career_stage="P",teacher_type="R"),INDEX(INDIRECT("RPS["&amp;Y$10&amp;"]"),MATCH($H54,RPS[helper],0),1), IF(AND(career_stage="HP",teacher_type="R"), INDEX(INDIRECT("RHPS["&amp;Y$10&amp;"]"),MATCH($H54,RHPS[helper],0),1), IF(AND(career_stage="P",teacher_type="TB"),INDEX(INDIRECT("TBPS["&amp;Y$10&amp;"]"),MATCH($H54,TBPS[helper],0),1), IF(AND(career_stage="HP",teacher_type="TB"),INDEX(INDIRECT("TBHPS["&amp;Y$10&amp;"]"),MATCH($H54,TBHPS[helper],0),1),"")))),""),"")</f>
        <v>Demonstrated Level 4 as shown in COT rating sheets/inter- observer agreement forms</v>
      </c>
      <c r="Z54" s="391" t="str">
        <f ca="1">IFERROR(IF($M54,IF(AND(career_stage="P",teacher_type="R"),INDEX(INDIRECT("RPS["&amp;Z$10&amp;"]"),MATCH($H54,RPS[helper],0),1), IF(AND(career_stage="HP",teacher_type="R"), INDEX(INDIRECT("RHPS["&amp;Z$10&amp;"]"),MATCH($H54,RHPS[helper],0),1), IF(AND(career_stage="P",teacher_type="TB"),INDEX(INDIRECT("TBPS["&amp;Z$10&amp;"]"),MATCH($H54,TBPS[helper],0),1), IF(AND(career_stage="HP",teacher_type="TB"),INDEX(INDIRECT("TBHPS["&amp;Z$10&amp;"]"),MATCH($H54,TBHPS[helper],0),1),"")))),""),"")</f>
        <v>Demonstrated Level 3 as shown in COT rating sheets/inter- observer agreement forms or No acceptable evidence was shown</v>
      </c>
      <c r="AA54" s="392" t="str" cm="1">
        <f t="array" aca="1" ref="AA54" ca="1">IFERROR(INDEX(V54:Z54,6-AB54),"")</f>
        <v>Demonstrated Level 7 as shown in COT rating sheets/inter- observer agreement forms</v>
      </c>
      <c r="AB54" s="680">
        <f>IF('Encoding Part 1'!AB36="","",'Encoding Part 1'!AB36)</f>
        <v>5</v>
      </c>
      <c r="AC54" s="680">
        <f>IF('Encoding Part 1'!AC36="","",'Encoding Part 1'!AC36)</f>
        <v>5</v>
      </c>
      <c r="AD54" s="680" t="str">
        <f>IF('Encoding Part 1'!AD36="","",'Encoding Part 1'!AD36)</f>
        <v/>
      </c>
      <c r="AE54" s="682">
        <f t="shared" ref="AE54" si="27">IFERROR(ROUNDDOWN(AVERAGE($AB54:$AD54),3),0)</f>
        <v>5</v>
      </c>
      <c r="AF54" s="661">
        <f t="shared" ref="AF54" si="28">ROUNDDOWN($AE54*$T54,3)</f>
        <v>0.35</v>
      </c>
      <c r="AG54" s="5"/>
    </row>
    <row r="55" spans="1:33" ht="38.25" x14ac:dyDescent="0.25">
      <c r="A55" s="92">
        <v>15</v>
      </c>
      <c r="B55" s="99" t="str" cm="1">
        <f t="array" ref="B55">IFERROR(IF(AND(teacher_type="R",career_stage="P"),INDEX(RPI[Strand],$A55),IF(AND(teacher_type="R",career_stage="HP"),INDEX(RHPI[Strand],$A55), IF(AND(teacher_type="TB",career_stage="P"),INDEX(TBPI[Strand],$A55), IF(AND(teacher_type="TB",career_stage="HP"),INDEX(TBHPI[Strand],$A55),0)))),0)</f>
        <v>3.2.2</v>
      </c>
      <c r="C55" s="99">
        <f>IFERROR(IF(AND(teacher_type="R",career_stage="P"),VLOOKUP($B55,RPI[[Strand]:[Domain]],COLUMNS(RPI[[Strand]:[Domain]]),FALSE), IF(AND(teacher_type="R",career_stage="HP"),VLOOKUP($B55,RHPI[[Strand]:[Domain]],COLUMNS(RHPI[[Strand]:[Domain]]),FALSE), IF(AND(teacher_type="TB",career_stage="P"),VLOOKUP($B55,TBPI[[Strand]:[Domain]],COLUMNS(TBPI[[Strand]:[Domain]]),FALSE), IF(AND(teacher_type="TB",career_stage="HP"),VLOOKUP($B55,TBHPI[[Strand]:[Domain]],COLUMNS(TBHPI[[Strand]:[Domain]]),FALSE),"")))),"")</f>
        <v>2</v>
      </c>
      <c r="D55" s="99" t="b">
        <f>IFERROR(IF(AND(career_stage="P",teacher_type="R"),VLOOKUP(B55,RPI[],COLUMNS(RPI[[Strand]:[Selected]]),FALSE), IF(AND(career_stage="HP",teacher_type="R"),VLOOKUP(B55,RHPI[],COLUMNS(RHPI[[Strand]:[Selected]]),FALSE), IF(AND(career_stage="P",teacher_type="TB"),VLOOKUP(B55,TBPI[],COLUMNS(TBPI[[Strand]:[Selected]]),FALSE), IF(AND(career_stage="HP",teacher_type="TB"),VLOOKUP(B55,TBHPI[],COLUMNS(TBHPI[[Strand]:[Selected]]),FALSE),FALSE)))),FALSE)</f>
        <v>1</v>
      </c>
      <c r="E55" s="92" t="b">
        <f>COUNTIFS($C$12:$C55,C55,$D$12:$D55,TRUE)=1</f>
        <v>0</v>
      </c>
      <c r="F55" s="92" t="b">
        <f>COUNTIFS($C$12:$C55,$C55,$B$12:$B55,$B55,$D$12:$D55,TRUE)=1</f>
        <v>0</v>
      </c>
      <c r="G55" s="99">
        <f>IF($F55,COUNTIFS($C$12:$C55,C55,$F$12:$F55,TRUE),0)</f>
        <v>0</v>
      </c>
      <c r="H55" s="99" t="str">
        <f t="shared" si="0"/>
        <v>3.2.2-E-COI</v>
      </c>
      <c r="I55" s="99">
        <f>IF(AND(D55,NOT($A55=$A54)),(COUNTIF($D$11:$D54,TRUE)/3)+1,0)</f>
        <v>0</v>
      </c>
      <c r="J55" s="99" t="s">
        <v>1073</v>
      </c>
      <c r="K55" s="99" t="b">
        <f>IF(AND(teacher_type="R",career_stage="P"),IF(AND(COUNTIFS(RPS[Strand],$B55,RPS[QET],$J55)&gt;0,$D55),TRUE,FALSE), IF(AND(teacher_type="R",career_stage="HP"),IF(AND(COUNTIFS(RHPS[Strand],$B55,RHPS[QET],$J55)&gt;0,$D55),TRUE,FALSE), IF(AND(teacher_type="TB",career_stage="P"),IF(AND(COUNTIFS(TBPS[Strand],$B55,TBPS[QET],$J55)&gt;0,$D55),TRUE,FALSE), IF(AND(teacher_type="TB",career_stage="HP"),IF(AND(COUNTIFS(TBHPS[Strand],$B55,TBHPS[QET],$J55)&gt;0,$D55),TRUE,FALSE),FALSE))))</f>
        <v>1</v>
      </c>
      <c r="L55" s="99" t="str">
        <f>IF($K55,IF(AND(teacher_type="R",career_stage="P"),VLOOKUP($B55,RPI[],COLUMNS(RPI[[Strand]:[user_selected_coi_ncoi]]),FALSE), IF(AND(teacher_type="R",career_stage="HP"),VLOOKUP($B55,RHPI[],COLUMNS(RHPI[[Strand]:[user_selected_coi_ncoi]]),FALSE), IF(AND(teacher_type="TB",career_stage="P"),VLOOKUP($B55,TBPI[],COLUMNS(TBPI[[Strand]:[user_selected_coi_ncoi]]),FALSE), IF(AND(teacher_type="TB",career_stage="HP"),VLOOKUP($B55,TBHPI[],COLUMNS(TBHPI[[Strand]:[user_selected_coi_ncoi]]),FALSE),"")))),"")</f>
        <v>COI</v>
      </c>
      <c r="M55" s="99" t="b">
        <f>IF(AND(teacher_type="R",career_stage="P"),IF(AND(COUNTIFS(RPS[Strand],$B55,RPS[QET],M$11)&gt;0,$D55),TRUE,FALSE),IF(AND(teacher_type="R",career_stage="HP"),IF(AND(COUNTIFS(RHPS[Strand],$B55,RHPS[QET],M$11)&gt;0,$D55),TRUE,FALSE), IF(AND(teacher_type="TB",career_stage="P"),IF(AND(COUNTIFS(TBPS[Strand],$B55,TBPS[QET],M$11)&gt;0,$D55),TRUE,FALSE), IF(AND(teacher_type="TB",career_stage="HP"),IF(AND(COUNTIFS(TBHPS[Strand],$B55,TBHPS[QET],M$11)&gt;0,$D55),TRUE,FALSE),FALSE))))</f>
        <v>1</v>
      </c>
      <c r="N55" s="99" t="b">
        <f>IF(AND(teacher_type="R",career_stage="P"),IF(AND(COUNTIFS(RPS[Strand],$B55,RPS[QET],N$11)&gt;0,$D55),TRUE,FALSE),IF(AND(teacher_type="R",career_stage="HP"),IF(AND(COUNTIFS(RHPS[Strand],$B55,RHPS[QET],N$11)&gt;0,$D55),TRUE,FALSE), IF(AND(teacher_type="TB",career_stage="P"),IF(AND(COUNTIFS(TBPS[Strand],$B55,TBPS[QET],N$11)&gt;0,$D55),TRUE,FALSE), IF(AND(teacher_type="TB",career_stage="HP"),IF(AND(COUNTIFS(TBHPS[Strand],$B55,TBHPS[QET],N$11)&gt;0,$D55),TRUE,FALSE),FALSE))))</f>
        <v>1</v>
      </c>
      <c r="O55" s="99" t="b">
        <f>IF(AND(teacher_type="R",career_stage="P"),IF(AND(COUNTIFS(RPS[Strand],$B55,RPS[QET],O$11)&gt;0,$D55),TRUE,FALSE),IF(AND(teacher_type="R",career_stage="HP"),IF(AND(COUNTIFS(RHPS[Strand],$B55,RHPS[QET],O$11)&gt;0,$D55),TRUE,FALSE), IF(AND(teacher_type="TB",career_stage="P"),IF(AND(COUNTIFS(TBPS[Strand],$B55,TBPS[QET],O$11)&gt;0,$D55),TRUE,FALSE), IF(AND(teacher_type="TB",career_stage="HP"),IF(AND(COUNTIFS(TBHPS[Strand],$B55,TBHPS[QET],O$11)&gt;0,$D55),TRUE,FALSE),FALSE))))</f>
        <v>0</v>
      </c>
      <c r="P55" s="710"/>
      <c r="Q55" s="662"/>
      <c r="R55" s="663"/>
      <c r="S55" s="664"/>
      <c r="T55" s="678"/>
      <c r="U55" s="94" t="s">
        <v>1186</v>
      </c>
      <c r="V55" s="391" t="str">
        <f ca="1">IFERROR(IF($N55,IF(AND(career_stage="P",teacher_type="R"),INDEX(INDIRECT("RPS["&amp;V$10&amp;"]"),MATCH($H55,RPS[helper],0),1), IF(AND(career_stage="HP",teacher_type="R"), INDEX(INDIRECT("RHPS["&amp;V$10&amp;"]"),MATCH($H55,RHPS[helper],0),1), IF(AND(career_stage="P",teacher_type="TB"),INDEX(INDIRECT("TBPS["&amp;V$10&amp;"]"),MATCH($H55,TBPS[helper],0),1), IF(AND(career_stage="HP",teacher_type="TB"),INDEX(INDIRECT("TBHPS["&amp;V$10&amp;"]"),MATCH($H55,TBHPS[helper],0),1),"")))),""),"")</f>
        <v>Objective was met within the allotted time</v>
      </c>
      <c r="W55" s="391">
        <f ca="1">IFERROR(IF($N55,IF(AND(career_stage="P",teacher_type="R"),INDEX(INDIRECT("RPS["&amp;W$10&amp;"]"),MATCH($H55,RPS[helper],0),1), IF(AND(career_stage="HP",teacher_type="R"), INDEX(INDIRECT("RHPS["&amp;W$10&amp;"]"),MATCH($H55,RHPS[helper],0),1), IF(AND(career_stage="P",teacher_type="TB"),INDEX(INDIRECT("TBPS["&amp;W$10&amp;"]"),MATCH($H55,TBPS[helper],0),1), IF(AND(career_stage="HP",teacher_type="TB"),INDEX(INDIRECT("TBHPS["&amp;W$10&amp;"]"),MATCH($H55,TBHPS[helper],0),1),"")))),""),"")</f>
        <v>0</v>
      </c>
      <c r="X55" s="391" t="str">
        <f ca="1">IFERROR(IF($N55,IF(AND(career_stage="P",teacher_type="R"),INDEX(INDIRECT("RPS["&amp;X$10&amp;"]"),MATCH($H55,RPS[helper],0),1), IF(AND(career_stage="HP",teacher_type="R"), INDEX(INDIRECT("RHPS["&amp;X$10&amp;"]"),MATCH($H55,RHPS[helper],0),1), IF(AND(career_stage="P",teacher_type="TB"),INDEX(INDIRECT("TBPS["&amp;X$10&amp;"]"),MATCH($H55,TBPS[helper],0),1), IF(AND(career_stage="HP",teacher_type="TB"),INDEX(INDIRECT("TBHPS["&amp;X$10&amp;"]"),MATCH($H55,TBHPS[helper],0),1),"")))),""),"")</f>
        <v>Objective was met but instruction exceeded the allotted time</v>
      </c>
      <c r="Y55" s="391">
        <f ca="1">IFERROR(IF($N55,IF(AND(career_stage="P",teacher_type="R"),INDEX(INDIRECT("RPS["&amp;Y$10&amp;"]"),MATCH($H55,RPS[helper],0),1), IF(AND(career_stage="HP",teacher_type="R"), INDEX(INDIRECT("RHPS["&amp;Y$10&amp;"]"),MATCH($H55,RHPS[helper],0),1), IF(AND(career_stage="P",teacher_type="TB"),INDEX(INDIRECT("TBPS["&amp;Y$10&amp;"]"),MATCH($H55,TBPS[helper],0),1), IF(AND(career_stage="HP",teacher_type="TB"),INDEX(INDIRECT("TBHPS["&amp;Y$10&amp;"]"),MATCH($H55,TBHPS[helper],0),1),"")))),""),"")</f>
        <v>0</v>
      </c>
      <c r="Z55" s="391" t="str">
        <f ca="1">IFERROR(IF($N55,IF(AND(career_stage="P",teacher_type="R"),INDEX(INDIRECT("RPS["&amp;Z$10&amp;"]"),MATCH($H55,RPS[helper],0),1), IF(AND(career_stage="HP",teacher_type="R"), INDEX(INDIRECT("RHPS["&amp;Z$10&amp;"]"),MATCH($H55,RHPS[helper],0),1), IF(AND(career_stage="P",teacher_type="TB"),INDEX(INDIRECT("TBPS["&amp;Z$10&amp;"]"),MATCH($H55,TBPS[helper],0),1), IF(AND(career_stage="HP",teacher_type="TB"),INDEX(INDIRECT("TBHPS["&amp;Z$10&amp;"]"),MATCH($H55,TBHPS[helper],0),1),"")))),""),"")</f>
        <v>No acceptable evidence was shown</v>
      </c>
      <c r="AA55" s="392" t="str" cm="1">
        <f t="array" aca="1" ref="AA55" ca="1">IFERROR(INDEX(V55:Z55,6-AC54),"")</f>
        <v>Objective was met within the allotted time</v>
      </c>
      <c r="AB55" s="680"/>
      <c r="AC55" s="680"/>
      <c r="AD55" s="680"/>
      <c r="AE55" s="682"/>
      <c r="AF55" s="661"/>
      <c r="AG55" s="5"/>
    </row>
    <row r="56" spans="1:33" hidden="1" x14ac:dyDescent="0.25">
      <c r="A56" s="92">
        <v>15</v>
      </c>
      <c r="B56" s="99" t="str" cm="1">
        <f t="array" ref="B56">IFERROR(IF(AND(teacher_type="R",career_stage="P"),INDEX(RPI[Strand],$A56),IF(AND(teacher_type="R",career_stage="HP"),INDEX(RHPI[Strand],$A56), IF(AND(teacher_type="TB",career_stage="P"),INDEX(TBPI[Strand],$A56), IF(AND(teacher_type="TB",career_stage="HP"),INDEX(TBHPI[Strand],$A56),0)))),0)</f>
        <v>3.2.2</v>
      </c>
      <c r="C56" s="99">
        <f>IFERROR(IF(AND(teacher_type="R",career_stage="P"),VLOOKUP($B56,RPI[[Strand]:[Domain]],COLUMNS(RPI[[Strand]:[Domain]]),FALSE), IF(AND(teacher_type="R",career_stage="HP"),VLOOKUP($B56,RHPI[[Strand]:[Domain]],COLUMNS(RHPI[[Strand]:[Domain]]),FALSE), IF(AND(teacher_type="TB",career_stage="P"),VLOOKUP($B56,TBPI[[Strand]:[Domain]],COLUMNS(TBPI[[Strand]:[Domain]]),FALSE), IF(AND(teacher_type="TB",career_stage="HP"),VLOOKUP($B56,TBHPI[[Strand]:[Domain]],COLUMNS(TBHPI[[Strand]:[Domain]]),FALSE),"")))),"")</f>
        <v>2</v>
      </c>
      <c r="D56" s="99" t="b">
        <f>IFERROR(IF(AND(career_stage="P",teacher_type="R"),VLOOKUP(B56,RPI[],COLUMNS(RPI[[Strand]:[Selected]]),FALSE), IF(AND(career_stage="HP",teacher_type="R"),VLOOKUP(B56,RHPI[],COLUMNS(RHPI[[Strand]:[Selected]]),FALSE), IF(AND(career_stage="P",teacher_type="TB"),VLOOKUP(B56,TBPI[],COLUMNS(TBPI[[Strand]:[Selected]]),FALSE), IF(AND(career_stage="HP",teacher_type="TB"),VLOOKUP(B56,TBHPI[],COLUMNS(TBHPI[[Strand]:[Selected]]),FALSE),FALSE)))),FALSE)</f>
        <v>1</v>
      </c>
      <c r="E56" s="92" t="b">
        <f>COUNTIFS($C$12:$C56,C56,$D$12:$D56,TRUE)=1</f>
        <v>0</v>
      </c>
      <c r="F56" s="92" t="b">
        <f>COUNTIFS($C$12:$C56,$C56,$B$12:$B56,$B56,$D$12:$D56,TRUE)=1</f>
        <v>0</v>
      </c>
      <c r="G56" s="99">
        <f>IF($F56,COUNTIFS($C$12:$C56,C56,$F$12:$F56,TRUE),0)</f>
        <v>0</v>
      </c>
      <c r="H56" s="99" t="str">
        <f t="shared" si="0"/>
        <v>3.2.2-T</v>
      </c>
      <c r="I56" s="99">
        <f>IF(AND(D56,NOT($A56=$A55)),(COUNTIF($D$11:$D55,TRUE)/3)+1,0)</f>
        <v>0</v>
      </c>
      <c r="J56" s="99" t="s">
        <v>1014</v>
      </c>
      <c r="K56" s="99" t="b">
        <f>IF(AND(teacher_type="R",career_stage="P"),IF(AND(COUNTIFS(RPS[Strand],$B56,RPS[QET],$J56)&gt;0,$D56),TRUE,FALSE), IF(AND(teacher_type="R",career_stage="HP"),IF(AND(COUNTIFS(RHPS[Strand],$B56,RHPS[QET],$J56)&gt;0,$D56),TRUE,FALSE), IF(AND(teacher_type="TB",career_stage="P"),IF(AND(COUNTIFS(TBPS[Strand],$B56,TBPS[QET],$J56)&gt;0,$D56),TRUE,FALSE), IF(AND(teacher_type="TB",career_stage="HP"),IF(AND(COUNTIFS(TBHPS[Strand],$B56,TBHPS[QET],$J56)&gt;0,$D56),TRUE,FALSE),FALSE))))</f>
        <v>0</v>
      </c>
      <c r="L56" s="99" t="str">
        <f>IF($K56,IF(AND(teacher_type="R",career_stage="P"),VLOOKUP($B56,RPI[],COLUMNS(RPI[[Strand]:[user_selected_coi_ncoi]]),FALSE), IF(AND(teacher_type="R",career_stage="HP"),VLOOKUP($B56,RHPI[],COLUMNS(RHPI[[Strand]:[user_selected_coi_ncoi]]),FALSE), IF(AND(teacher_type="TB",career_stage="P"),VLOOKUP($B56,TBPI[],COLUMNS(TBPI[[Strand]:[user_selected_coi_ncoi]]),FALSE), IF(AND(teacher_type="TB",career_stage="HP"),VLOOKUP($B56,TBHPI[],COLUMNS(TBHPI[[Strand]:[user_selected_coi_ncoi]]),FALSE),"")))),"")</f>
        <v/>
      </c>
      <c r="M56" s="99" t="b">
        <f>IF(AND(teacher_type="R",career_stage="P"),IF(AND(COUNTIFS(RPS[Strand],$B56,RPS[QET],M$11)&gt;0,$D56),TRUE,FALSE),IF(AND(teacher_type="R",career_stage="HP"),IF(AND(COUNTIFS(RHPS[Strand],$B56,RHPS[QET],M$11)&gt;0,$D56),TRUE,FALSE), IF(AND(teacher_type="TB",career_stage="P"),IF(AND(COUNTIFS(TBPS[Strand],$B56,TBPS[QET],M$11)&gt;0,$D56),TRUE,FALSE), IF(AND(teacher_type="TB",career_stage="HP"),IF(AND(COUNTIFS(TBHPS[Strand],$B56,TBHPS[QET],M$11)&gt;0,$D56),TRUE,FALSE),FALSE))))</f>
        <v>1</v>
      </c>
      <c r="N56" s="99" t="b">
        <f>IF(AND(teacher_type="R",career_stage="P"),IF(AND(COUNTIFS(RPS[Strand],$B56,RPS[QET],N$11)&gt;0,$D56),TRUE,FALSE),IF(AND(teacher_type="R",career_stage="HP"),IF(AND(COUNTIFS(RHPS[Strand],$B56,RHPS[QET],N$11)&gt;0,$D56),TRUE,FALSE), IF(AND(teacher_type="TB",career_stage="P"),IF(AND(COUNTIFS(TBPS[Strand],$B56,TBPS[QET],N$11)&gt;0,$D56),TRUE,FALSE), IF(AND(teacher_type="TB",career_stage="HP"),IF(AND(COUNTIFS(TBHPS[Strand],$B56,TBHPS[QET],N$11)&gt;0,$D56),TRUE,FALSE),FALSE))))</f>
        <v>1</v>
      </c>
      <c r="O56" s="99" t="b">
        <f>IF(AND(teacher_type="R",career_stage="P"),IF(AND(COUNTIFS(RPS[Strand],$B56,RPS[QET],O$11)&gt;0,$D56),TRUE,FALSE),IF(AND(teacher_type="R",career_stage="HP"),IF(AND(COUNTIFS(RHPS[Strand],$B56,RHPS[QET],O$11)&gt;0,$D56),TRUE,FALSE), IF(AND(teacher_type="TB",career_stage="P"),IF(AND(COUNTIFS(TBPS[Strand],$B56,TBPS[QET],O$11)&gt;0,$D56),TRUE,FALSE), IF(AND(teacher_type="TB",career_stage="HP"),IF(AND(COUNTIFS(TBHPS[Strand],$B56,TBHPS[QET],O$11)&gt;0,$D56),TRUE,FALSE),FALSE))))</f>
        <v>0</v>
      </c>
      <c r="P56" s="710"/>
      <c r="Q56" s="662"/>
      <c r="R56" s="663"/>
      <c r="S56" s="664"/>
      <c r="T56" s="678"/>
      <c r="U56" s="94" t="s">
        <v>1187</v>
      </c>
      <c r="V56" s="391" t="str">
        <f ca="1">IFERROR(IF($O56,IF(AND(career_stage="P",teacher_type="R"),INDEX(INDIRECT("RPS["&amp;V$10&amp;"]"),MATCH($H56,RPS[helper],0),1), IF(AND(career_stage="HP",teacher_type="R"), INDEX(INDIRECT("RHPS["&amp;V$10&amp;"]"),MATCH($H56,RHPS[helper],0),1), IF(AND(career_stage="P",teacher_type="TB"),INDEX(INDIRECT("TBPS["&amp;V$10&amp;"]"),MATCH($H56,TBPS[helper],0),1), IF(AND(career_stage="HP",teacher_type="TB"),INDEX(INDIRECT("TBHPS["&amp;V$10&amp;"]"),MATCH($H56,TBHPS[helper],0),1),"")))),""),"")</f>
        <v/>
      </c>
      <c r="W56" s="391" t="str">
        <f ca="1">IFERROR(IF($O56,IF(AND(career_stage="P",teacher_type="R"),INDEX(INDIRECT("RPS["&amp;W$10&amp;"]"),MATCH($H56,RPS[helper],0),1), IF(AND(career_stage="HP",teacher_type="R"), INDEX(INDIRECT("RHPS["&amp;W$10&amp;"]"),MATCH($H56,RHPS[helper],0),1), IF(AND(career_stage="P",teacher_type="TB"),INDEX(INDIRECT("TBPS["&amp;W$10&amp;"]"),MATCH($H56,TBPS[helper],0),1), IF(AND(career_stage="HP",teacher_type="TB"),INDEX(INDIRECT("TBHPS["&amp;W$10&amp;"]"),MATCH($H56,TBHPS[helper],0),1),"")))),""),"")</f>
        <v/>
      </c>
      <c r="X56" s="391" t="str">
        <f ca="1">IFERROR(IF($O56,IF(AND(career_stage="P",teacher_type="R"),INDEX(INDIRECT("RPS["&amp;X$10&amp;"]"),MATCH($H56,RPS[helper],0),1), IF(AND(career_stage="HP",teacher_type="R"), INDEX(INDIRECT("RHPS["&amp;X$10&amp;"]"),MATCH($H56,RHPS[helper],0),1), IF(AND(career_stage="P",teacher_type="TB"),INDEX(INDIRECT("TBPS["&amp;X$10&amp;"]"),MATCH($H56,TBPS[helper],0),1), IF(AND(career_stage="HP",teacher_type="TB"),INDEX(INDIRECT("TBHPS["&amp;X$10&amp;"]"),MATCH($H56,TBHPS[helper],0),1),"")))),""),"")</f>
        <v/>
      </c>
      <c r="Y56" s="391" t="str">
        <f ca="1">IFERROR(IF($O56,IF(AND(career_stage="P",teacher_type="R"),INDEX(INDIRECT("RPS["&amp;Y$10&amp;"]"),MATCH($H56,RPS[helper],0),1), IF(AND(career_stage="HP",teacher_type="R"), INDEX(INDIRECT("RHPS["&amp;Y$10&amp;"]"),MATCH($H56,RHPS[helper],0),1), IF(AND(career_stage="P",teacher_type="TB"),INDEX(INDIRECT("TBPS["&amp;Y$10&amp;"]"),MATCH($H56,TBPS[helper],0),1), IF(AND(career_stage="HP",teacher_type="TB"),INDEX(INDIRECT("TBHPS["&amp;Y$10&amp;"]"),MATCH($H56,TBHPS[helper],0),1),"")))),""),"")</f>
        <v/>
      </c>
      <c r="Z56" s="391" t="str">
        <f ca="1">IFERROR(IF($O56,IF(AND(career_stage="P",teacher_type="R"),INDEX(INDIRECT("RPS["&amp;Z$10&amp;"]"),MATCH($H56,RPS[helper],0),1), IF(AND(career_stage="HP",teacher_type="R"), INDEX(INDIRECT("RHPS["&amp;Z$10&amp;"]"),MATCH($H56,RHPS[helper],0),1), IF(AND(career_stage="P",teacher_type="TB"),INDEX(INDIRECT("TBPS["&amp;Z$10&amp;"]"),MATCH($H56,TBPS[helper],0),1), IF(AND(career_stage="HP",teacher_type="TB"),INDEX(INDIRECT("TBHPS["&amp;Z$10&amp;"]"),MATCH($H56,TBHPS[helper],0),1),"")))),""),"")</f>
        <v/>
      </c>
      <c r="AA56" s="391" t="str" cm="1">
        <f t="array" ref="AA56">IFERROR(INDEX(V56:Z56,6-AD54),"")</f>
        <v/>
      </c>
      <c r="AB56" s="680"/>
      <c r="AC56" s="680"/>
      <c r="AD56" s="680"/>
      <c r="AE56" s="682"/>
      <c r="AF56" s="661"/>
      <c r="AG56" s="5"/>
    </row>
    <row r="57" spans="1:33" hidden="1" x14ac:dyDescent="0.25">
      <c r="A57" s="92">
        <v>16</v>
      </c>
      <c r="B57" s="99" t="str" cm="1">
        <f t="array" ref="B57">IFERROR(IF(AND(teacher_type="R",career_stage="P"),INDEX(RPI[Strand],$A57),IF(AND(teacher_type="R",career_stage="HP"),INDEX(RHPI[Strand],$A57), IF(AND(teacher_type="TB",career_stage="P"),INDEX(TBPI[Strand],$A57), IF(AND(teacher_type="TB",career_stage="HP"),INDEX(TBHPI[Strand],$A57),0)))),0)</f>
        <v>3.3.2</v>
      </c>
      <c r="C57" s="99">
        <f>IFERROR(IF(AND(teacher_type="R",career_stage="P"),VLOOKUP($B57,RPI[[Strand]:[Domain]],COLUMNS(RPI[[Strand]:[Domain]]),FALSE), IF(AND(teacher_type="R",career_stage="HP"),VLOOKUP($B57,RHPI[[Strand]:[Domain]],COLUMNS(RHPI[[Strand]:[Domain]]),FALSE), IF(AND(teacher_type="TB",career_stage="P"),VLOOKUP($B57,TBPI[[Strand]:[Domain]],COLUMNS(TBPI[[Strand]:[Domain]]),FALSE), IF(AND(teacher_type="TB",career_stage="HP"),VLOOKUP($B57,TBHPI[[Strand]:[Domain]],COLUMNS(TBHPI[[Strand]:[Domain]]),FALSE),"")))),"")</f>
        <v>2</v>
      </c>
      <c r="D57" s="99" t="b">
        <f>IFERROR(IF(AND(career_stage="P",teacher_type="R"),VLOOKUP(B57,RPI[],COLUMNS(RPI[[Strand]:[Selected]]),FALSE), IF(AND(career_stage="HP",teacher_type="R"),VLOOKUP(B57,RHPI[],COLUMNS(RHPI[[Strand]:[Selected]]),FALSE), IF(AND(career_stage="P",teacher_type="TB"),VLOOKUP(B57,TBPI[],COLUMNS(TBPI[[Strand]:[Selected]]),FALSE), IF(AND(career_stage="HP",teacher_type="TB"),VLOOKUP(B57,TBHPI[],COLUMNS(TBHPI[[Strand]:[Selected]]),FALSE),FALSE)))),FALSE)</f>
        <v>0</v>
      </c>
      <c r="E57" s="92" t="b">
        <f>COUNTIFS($C$12:$C57,C57,$D$12:$D57,TRUE)=1</f>
        <v>0</v>
      </c>
      <c r="F57" s="92" t="b">
        <f>COUNTIFS($C$12:$C57,$C57,$B$12:$B57,$B57,$D$12:$D57,TRUE)=1</f>
        <v>0</v>
      </c>
      <c r="G57" s="99">
        <f>IF($F57,COUNTIFS($C$12:$C57,C57,$F$12:$F57,TRUE),0)</f>
        <v>0</v>
      </c>
      <c r="H57" s="99" t="str">
        <f t="shared" si="0"/>
        <v>3.3.2-Q</v>
      </c>
      <c r="I57" s="99">
        <f>IF(AND(D57,NOT($A57=$A56)),(COUNTIF($D$11:$D56,TRUE)/3)+1,0)</f>
        <v>0</v>
      </c>
      <c r="J57" s="99" t="s">
        <v>1012</v>
      </c>
      <c r="K57" s="99" t="b">
        <f>IF(AND(teacher_type="R",career_stage="P"),IF(AND(COUNTIFS(RPS[Strand],$B57,RPS[QET],$J57)&gt;0,$D57),TRUE,FALSE), IF(AND(teacher_type="R",career_stage="HP"),IF(AND(COUNTIFS(RHPS[Strand],$B57,RHPS[QET],$J57)&gt;0,$D57),TRUE,FALSE), IF(AND(teacher_type="TB",career_stage="P"),IF(AND(COUNTIFS(TBPS[Strand],$B57,TBPS[QET],$J57)&gt;0,$D57),TRUE,FALSE), IF(AND(teacher_type="TB",career_stage="HP"),IF(AND(COUNTIFS(TBHPS[Strand],$B57,TBHPS[QET],$J57)&gt;0,$D57),TRUE,FALSE),FALSE))))</f>
        <v>0</v>
      </c>
      <c r="L57" s="99" t="str">
        <f>IF($K57,IF(AND(teacher_type="R",career_stage="P"),VLOOKUP($B57,RPI[],COLUMNS(RPI[[Strand]:[user_selected_coi_ncoi]]),FALSE), IF(AND(teacher_type="R",career_stage="HP"),VLOOKUP($B57,RHPI[],COLUMNS(RHPI[[Strand]:[user_selected_coi_ncoi]]),FALSE), IF(AND(teacher_type="TB",career_stage="P"),VLOOKUP($B57,TBPI[],COLUMNS(TBPI[[Strand]:[user_selected_coi_ncoi]]),FALSE), IF(AND(teacher_type="TB",career_stage="HP"),VLOOKUP($B57,TBHPI[],COLUMNS(TBHPI[[Strand]:[user_selected_coi_ncoi]]),FALSE),"")))),"")</f>
        <v/>
      </c>
      <c r="M57" s="99" t="b">
        <f>IF(AND(teacher_type="R",career_stage="P"),IF(AND(COUNTIFS(RPS[Strand],$B57,RPS[QET],M$11)&gt;0,$D57),TRUE,FALSE),IF(AND(teacher_type="R",career_stage="HP"),IF(AND(COUNTIFS(RHPS[Strand],$B57,RHPS[QET],M$11)&gt;0,$D57),TRUE,FALSE), IF(AND(teacher_type="TB",career_stage="P"),IF(AND(COUNTIFS(TBPS[Strand],$B57,TBPS[QET],M$11)&gt;0,$D57),TRUE,FALSE), IF(AND(teacher_type="TB",career_stage="HP"),IF(AND(COUNTIFS(TBHPS[Strand],$B57,TBHPS[QET],M$11)&gt;0,$D57),TRUE,FALSE),FALSE))))</f>
        <v>0</v>
      </c>
      <c r="N57" s="99" t="b">
        <f>IF(AND(teacher_type="R",career_stage="P"),IF(AND(COUNTIFS(RPS[Strand],$B57,RPS[QET],N$11)&gt;0,$D57),TRUE,FALSE),IF(AND(teacher_type="R",career_stage="HP"),IF(AND(COUNTIFS(RHPS[Strand],$B57,RHPS[QET],N$11)&gt;0,$D57),TRUE,FALSE), IF(AND(teacher_type="TB",career_stage="P"),IF(AND(COUNTIFS(TBPS[Strand],$B57,TBPS[QET],N$11)&gt;0,$D57),TRUE,FALSE), IF(AND(teacher_type="TB",career_stage="HP"),IF(AND(COUNTIFS(TBHPS[Strand],$B57,TBHPS[QET],N$11)&gt;0,$D57),TRUE,FALSE),FALSE))))</f>
        <v>0</v>
      </c>
      <c r="O57" s="99" t="b">
        <f>IF(AND(teacher_type="R",career_stage="P"),IF(AND(COUNTIFS(RPS[Strand],$B57,RPS[QET],O$11)&gt;0,$D57),TRUE,FALSE),IF(AND(teacher_type="R",career_stage="HP"),IF(AND(COUNTIFS(RHPS[Strand],$B57,RHPS[QET],O$11)&gt;0,$D57),TRUE,FALSE), IF(AND(teacher_type="TB",career_stage="P"),IF(AND(COUNTIFS(TBPS[Strand],$B57,TBPS[QET],O$11)&gt;0,$D57),TRUE,FALSE), IF(AND(teacher_type="TB",career_stage="HP"),IF(AND(COUNTIFS(TBHPS[Strand],$B57,TBHPS[QET],O$11)&gt;0,$D57),TRUE,FALSE),FALSE))))</f>
        <v>0</v>
      </c>
      <c r="P57" s="710"/>
      <c r="Q57" s="662" t="str">
        <f>IFERROR(IF(E57,IF(C57="Plus Factor","Plus Factor",C57 &amp; ". " &amp; INDEX(Domains[Domain],MATCH(C57,Domains[Domain_code],0),1)),""),"")</f>
        <v/>
      </c>
      <c r="R57" s="663" t="str">
        <f>IFERROR(IF($F57,$I57 &amp; ". " &amp; IF(AND(career_stage="P",teacher_type="R"), INDEX(RPI[PPST Indicators],MATCH($B57,RPI[Strand],0),1), IF(AND(career_stage="HP",teacher_type="R"),INDEX(RHPI[PPST Indicators],MATCH($B57,RHPI[Strand],0),1), IF(AND(career_stage="P",teacher_type="TB"),INDEX(TBPI[PPST Indicators],MATCH($B57,TBPI[Strand],0),1), IF(AND(career_stage="HP",teacher_type="TB"),INDEX(TBHPI[PPST Indicators],MATCH($B57,TBHPI[Strand],0),1),"")))) &amp; IF(NOT(TRIM(LOWER($C57))="plus factor")," (PPST "&amp;B57&amp;")",""),""),"")</f>
        <v/>
      </c>
      <c r="S57" s="664" t="str" cm="1">
        <f t="array" ref="S57">demographics[rating_period]</f>
        <v>SY 2023-2024</v>
      </c>
      <c r="T57" s="678">
        <f>IFERROR(IF(AND(career_stage="P",teacher_type="R"),VLOOKUP(B57,RPI[],COLUMNS(RPI[[Strand]:[Weight]]),FALSE), IF(AND(career_stage="HP",teacher_type="R"),VLOOKUP(B57,RHPI[],COLUMNS(RHPI[[Strand]:[Weight]]),FALSE), IF(AND(career_stage="P",teacher_type="TB"),VLOOKUP(B57,TBPI[],COLUMNS(TBPI[[Strand]:[Weight]]),FALSE), IF(AND(career_stage="HP",teacher_type="TB"),VLOOKUP(B57,TBHPI[],COLUMNS(TBHPI[[Strand]:[Weight]]),FALSE),0)))),0)</f>
        <v>0</v>
      </c>
      <c r="U57" s="94" t="s">
        <v>1185</v>
      </c>
      <c r="V57" s="391" t="str">
        <f ca="1">IFERROR(IF($M57,IF(AND(career_stage="P",teacher_type="R"),INDEX(INDIRECT("RPS["&amp;V$10&amp;"]"),MATCH($H57,RPS[helper],0),1), IF(AND(career_stage="HP",teacher_type="R"), INDEX(INDIRECT("RHPS["&amp;V$10&amp;"]"),MATCH($H57,RHPS[helper],0),1), IF(AND(career_stage="P",teacher_type="TB"),INDEX(INDIRECT("TBPS["&amp;V$10&amp;"]"),MATCH($H57,TBPS[helper],0),1), IF(AND(career_stage="HP",teacher_type="TB"),INDEX(INDIRECT("TBHPS["&amp;V$10&amp;"]"),MATCH($H57,TBHPS[helper],0),1),"")))),""),"")</f>
        <v/>
      </c>
      <c r="W57" s="391" t="str">
        <f ca="1">IFERROR(IF($M57,IF(AND(career_stage="P",teacher_type="R"),INDEX(INDIRECT("RPS["&amp;W$10&amp;"]"),MATCH($H57,RPS[helper],0),1), IF(AND(career_stage="HP",teacher_type="R"), INDEX(INDIRECT("RHPS["&amp;W$10&amp;"]"),MATCH($H57,RHPS[helper],0),1), IF(AND(career_stage="P",teacher_type="TB"),INDEX(INDIRECT("TBPS["&amp;W$10&amp;"]"),MATCH($H57,TBPS[helper],0),1), IF(AND(career_stage="HP",teacher_type="TB"),INDEX(INDIRECT("TBHPS["&amp;W$10&amp;"]"),MATCH($H57,TBHPS[helper],0),1),"")))),""),"")</f>
        <v/>
      </c>
      <c r="X57" s="391" t="str">
        <f ca="1">IFERROR(IF($M57,IF(AND(career_stage="P",teacher_type="R"),INDEX(INDIRECT("RPS["&amp;X$10&amp;"]"),MATCH($H57,RPS[helper],0),1), IF(AND(career_stage="HP",teacher_type="R"), INDEX(INDIRECT("RHPS["&amp;X$10&amp;"]"),MATCH($H57,RHPS[helper],0),1), IF(AND(career_stage="P",teacher_type="TB"),INDEX(INDIRECT("TBPS["&amp;X$10&amp;"]"),MATCH($H57,TBPS[helper],0),1), IF(AND(career_stage="HP",teacher_type="TB"),INDEX(INDIRECT("TBHPS["&amp;X$10&amp;"]"),MATCH($H57,TBHPS[helper],0),1),"")))),""),"")</f>
        <v/>
      </c>
      <c r="Y57" s="391" t="str">
        <f ca="1">IFERROR(IF($M57,IF(AND(career_stage="P",teacher_type="R"),INDEX(INDIRECT("RPS["&amp;Y$10&amp;"]"),MATCH($H57,RPS[helper],0),1), IF(AND(career_stage="HP",teacher_type="R"), INDEX(INDIRECT("RHPS["&amp;Y$10&amp;"]"),MATCH($H57,RHPS[helper],0),1), IF(AND(career_stage="P",teacher_type="TB"),INDEX(INDIRECT("TBPS["&amp;Y$10&amp;"]"),MATCH($H57,TBPS[helper],0),1), IF(AND(career_stage="HP",teacher_type="TB"),INDEX(INDIRECT("TBHPS["&amp;Y$10&amp;"]"),MATCH($H57,TBHPS[helper],0),1),"")))),""),"")</f>
        <v/>
      </c>
      <c r="Z57" s="391" t="str">
        <f ca="1">IFERROR(IF($M57,IF(AND(career_stage="P",teacher_type="R"),INDEX(INDIRECT("RPS["&amp;Z$10&amp;"]"),MATCH($H57,RPS[helper],0),1), IF(AND(career_stage="HP",teacher_type="R"), INDEX(INDIRECT("RHPS["&amp;Z$10&amp;"]"),MATCH($H57,RHPS[helper],0),1), IF(AND(career_stage="P",teacher_type="TB"),INDEX(INDIRECT("TBPS["&amp;Z$10&amp;"]"),MATCH($H57,TBPS[helper],0),1), IF(AND(career_stage="HP",teacher_type="TB"),INDEX(INDIRECT("TBHPS["&amp;Z$10&amp;"]"),MATCH($H57,TBHPS[helper],0),1),"")))),""),"")</f>
        <v/>
      </c>
      <c r="AA57" s="392" t="str" cm="1">
        <f t="array" ref="AA57">IFERROR(INDEX(V57:Z57,6-AB57),"")</f>
        <v/>
      </c>
      <c r="AB57" s="680" t="str">
        <f>IF('Encoding Part 1'!AB37="","",'Encoding Part 1'!AB37)</f>
        <v/>
      </c>
      <c r="AC57" s="680" t="str">
        <f>IF('Encoding Part 1'!AC37="","",'Encoding Part 1'!AC37)</f>
        <v/>
      </c>
      <c r="AD57" s="680" t="str">
        <f>IF('Encoding Part 1'!AD37="","",'Encoding Part 1'!AD37)</f>
        <v/>
      </c>
      <c r="AE57" s="682">
        <f t="shared" ref="AE57" si="29">IFERROR(ROUNDDOWN(AVERAGE($AB57:$AD57),3),0)</f>
        <v>0</v>
      </c>
      <c r="AF57" s="661">
        <f t="shared" ref="AF57" si="30">ROUNDDOWN($AE57*$T57,3)</f>
        <v>0</v>
      </c>
      <c r="AG57" s="5"/>
    </row>
    <row r="58" spans="1:33" hidden="1" x14ac:dyDescent="0.25">
      <c r="A58" s="92">
        <v>16</v>
      </c>
      <c r="B58" s="99" t="str" cm="1">
        <f t="array" ref="B58">IFERROR(IF(AND(teacher_type="R",career_stage="P"),INDEX(RPI[Strand],$A58),IF(AND(teacher_type="R",career_stage="HP"),INDEX(RHPI[Strand],$A58), IF(AND(teacher_type="TB",career_stage="P"),INDEX(TBPI[Strand],$A58), IF(AND(teacher_type="TB",career_stage="HP"),INDEX(TBHPI[Strand],$A58),0)))),0)</f>
        <v>3.3.2</v>
      </c>
      <c r="C58" s="99">
        <f>IFERROR(IF(AND(teacher_type="R",career_stage="P"),VLOOKUP($B58,RPI[[Strand]:[Domain]],COLUMNS(RPI[[Strand]:[Domain]]),FALSE), IF(AND(teacher_type="R",career_stage="HP"),VLOOKUP($B58,RHPI[[Strand]:[Domain]],COLUMNS(RHPI[[Strand]:[Domain]]),FALSE), IF(AND(teacher_type="TB",career_stage="P"),VLOOKUP($B58,TBPI[[Strand]:[Domain]],COLUMNS(TBPI[[Strand]:[Domain]]),FALSE), IF(AND(teacher_type="TB",career_stage="HP"),VLOOKUP($B58,TBHPI[[Strand]:[Domain]],COLUMNS(TBHPI[[Strand]:[Domain]]),FALSE),"")))),"")</f>
        <v>2</v>
      </c>
      <c r="D58" s="99" t="b">
        <f>IFERROR(IF(AND(career_stage="P",teacher_type="R"),VLOOKUP(B58,RPI[],COLUMNS(RPI[[Strand]:[Selected]]),FALSE), IF(AND(career_stage="HP",teacher_type="R"),VLOOKUP(B58,RHPI[],COLUMNS(RHPI[[Strand]:[Selected]]),FALSE), IF(AND(career_stage="P",teacher_type="TB"),VLOOKUP(B58,TBPI[],COLUMNS(TBPI[[Strand]:[Selected]]),FALSE), IF(AND(career_stage="HP",teacher_type="TB"),VLOOKUP(B58,TBHPI[],COLUMNS(TBHPI[[Strand]:[Selected]]),FALSE),FALSE)))),FALSE)</f>
        <v>0</v>
      </c>
      <c r="E58" s="92" t="b">
        <f>COUNTIFS($C$12:$C58,C58,$D$12:$D58,TRUE)=1</f>
        <v>0</v>
      </c>
      <c r="F58" s="92" t="b">
        <f>COUNTIFS($C$12:$C58,$C58,$B$12:$B58,$B58,$D$12:$D58,TRUE)=1</f>
        <v>0</v>
      </c>
      <c r="G58" s="99">
        <f>IF($F58,COUNTIFS($C$12:$C58,C58,$F$12:$F58,TRUE),0)</f>
        <v>0</v>
      </c>
      <c r="H58" s="99" t="str">
        <f t="shared" si="0"/>
        <v>3.3.2-E</v>
      </c>
      <c r="I58" s="99">
        <f>IF(AND(D58,NOT($A58=$A57)),(COUNTIF($D$11:$D57,TRUE)/3)+1,0)</f>
        <v>0</v>
      </c>
      <c r="J58" s="99" t="s">
        <v>1073</v>
      </c>
      <c r="K58" s="99" t="b">
        <f>IF(AND(teacher_type="R",career_stage="P"),IF(AND(COUNTIFS(RPS[Strand],$B58,RPS[QET],$J58)&gt;0,$D58),TRUE,FALSE), IF(AND(teacher_type="R",career_stage="HP"),IF(AND(COUNTIFS(RHPS[Strand],$B58,RHPS[QET],$J58)&gt;0,$D58),TRUE,FALSE), IF(AND(teacher_type="TB",career_stage="P"),IF(AND(COUNTIFS(TBPS[Strand],$B58,TBPS[QET],$J58)&gt;0,$D58),TRUE,FALSE), IF(AND(teacher_type="TB",career_stage="HP"),IF(AND(COUNTIFS(TBHPS[Strand],$B58,TBHPS[QET],$J58)&gt;0,$D58),TRUE,FALSE),FALSE))))</f>
        <v>0</v>
      </c>
      <c r="L58" s="99" t="str">
        <f>IF($K58,IF(AND(teacher_type="R",career_stage="P"),VLOOKUP($B58,RPI[],COLUMNS(RPI[[Strand]:[user_selected_coi_ncoi]]),FALSE), IF(AND(teacher_type="R",career_stage="HP"),VLOOKUP($B58,RHPI[],COLUMNS(RHPI[[Strand]:[user_selected_coi_ncoi]]),FALSE), IF(AND(teacher_type="TB",career_stage="P"),VLOOKUP($B58,TBPI[],COLUMNS(TBPI[[Strand]:[user_selected_coi_ncoi]]),FALSE), IF(AND(teacher_type="TB",career_stage="HP"),VLOOKUP($B58,TBHPI[],COLUMNS(TBHPI[[Strand]:[user_selected_coi_ncoi]]),FALSE),"")))),"")</f>
        <v/>
      </c>
      <c r="M58" s="99" t="b">
        <f>IF(AND(teacher_type="R",career_stage="P"),IF(AND(COUNTIFS(RPS[Strand],$B58,RPS[QET],M$11)&gt;0,$D58),TRUE,FALSE),IF(AND(teacher_type="R",career_stage="HP"),IF(AND(COUNTIFS(RHPS[Strand],$B58,RHPS[QET],M$11)&gt;0,$D58),TRUE,FALSE), IF(AND(teacher_type="TB",career_stage="P"),IF(AND(COUNTIFS(TBPS[Strand],$B58,TBPS[QET],M$11)&gt;0,$D58),TRUE,FALSE), IF(AND(teacher_type="TB",career_stage="HP"),IF(AND(COUNTIFS(TBHPS[Strand],$B58,TBHPS[QET],M$11)&gt;0,$D58),TRUE,FALSE),FALSE))))</f>
        <v>0</v>
      </c>
      <c r="N58" s="99" t="b">
        <f>IF(AND(teacher_type="R",career_stage="P"),IF(AND(COUNTIFS(RPS[Strand],$B58,RPS[QET],N$11)&gt;0,$D58),TRUE,FALSE),IF(AND(teacher_type="R",career_stage="HP"),IF(AND(COUNTIFS(RHPS[Strand],$B58,RHPS[QET],N$11)&gt;0,$D58),TRUE,FALSE), IF(AND(teacher_type="TB",career_stage="P"),IF(AND(COUNTIFS(TBPS[Strand],$B58,TBPS[QET],N$11)&gt;0,$D58),TRUE,FALSE), IF(AND(teacher_type="TB",career_stage="HP"),IF(AND(COUNTIFS(TBHPS[Strand],$B58,TBHPS[QET],N$11)&gt;0,$D58),TRUE,FALSE),FALSE))))</f>
        <v>0</v>
      </c>
      <c r="O58" s="99" t="b">
        <f>IF(AND(teacher_type="R",career_stage="P"),IF(AND(COUNTIFS(RPS[Strand],$B58,RPS[QET],O$11)&gt;0,$D58),TRUE,FALSE),IF(AND(teacher_type="R",career_stage="HP"),IF(AND(COUNTIFS(RHPS[Strand],$B58,RHPS[QET],O$11)&gt;0,$D58),TRUE,FALSE), IF(AND(teacher_type="TB",career_stage="P"),IF(AND(COUNTIFS(TBPS[Strand],$B58,TBPS[QET],O$11)&gt;0,$D58),TRUE,FALSE), IF(AND(teacher_type="TB",career_stage="HP"),IF(AND(COUNTIFS(TBHPS[Strand],$B58,TBHPS[QET],O$11)&gt;0,$D58),TRUE,FALSE),FALSE))))</f>
        <v>0</v>
      </c>
      <c r="P58" s="710"/>
      <c r="Q58" s="662"/>
      <c r="R58" s="663"/>
      <c r="S58" s="664"/>
      <c r="T58" s="678"/>
      <c r="U58" s="94" t="s">
        <v>1186</v>
      </c>
      <c r="V58" s="391" t="str">
        <f ca="1">IFERROR(IF($N58,IF(AND(career_stage="P",teacher_type="R"),INDEX(INDIRECT("RPS["&amp;V$10&amp;"]"),MATCH($H58,RPS[helper],0),1), IF(AND(career_stage="HP",teacher_type="R"), INDEX(INDIRECT("RHPS["&amp;V$10&amp;"]"),MATCH($H58,RHPS[helper],0),1), IF(AND(career_stage="P",teacher_type="TB"),INDEX(INDIRECT("TBPS["&amp;V$10&amp;"]"),MATCH($H58,TBPS[helper],0),1), IF(AND(career_stage="HP",teacher_type="TB"),INDEX(INDIRECT("TBHPS["&amp;V$10&amp;"]"),MATCH($H58,TBHPS[helper],0),1),"")))),""),"")</f>
        <v/>
      </c>
      <c r="W58" s="391" t="str">
        <f ca="1">IFERROR(IF($N58,IF(AND(career_stage="P",teacher_type="R"),INDEX(INDIRECT("RPS["&amp;W$10&amp;"]"),MATCH($H58,RPS[helper],0),1), IF(AND(career_stage="HP",teacher_type="R"), INDEX(INDIRECT("RHPS["&amp;W$10&amp;"]"),MATCH($H58,RHPS[helper],0),1), IF(AND(career_stage="P",teacher_type="TB"),INDEX(INDIRECT("TBPS["&amp;W$10&amp;"]"),MATCH($H58,TBPS[helper],0),1), IF(AND(career_stage="HP",teacher_type="TB"),INDEX(INDIRECT("TBHPS["&amp;W$10&amp;"]"),MATCH($H58,TBHPS[helper],0),1),"")))),""),"")</f>
        <v/>
      </c>
      <c r="X58" s="391" t="str">
        <f ca="1">IFERROR(IF($N58,IF(AND(career_stage="P",teacher_type="R"),INDEX(INDIRECT("RPS["&amp;X$10&amp;"]"),MATCH($H58,RPS[helper],0),1), IF(AND(career_stage="HP",teacher_type="R"), INDEX(INDIRECT("RHPS["&amp;X$10&amp;"]"),MATCH($H58,RHPS[helper],0),1), IF(AND(career_stage="P",teacher_type="TB"),INDEX(INDIRECT("TBPS["&amp;X$10&amp;"]"),MATCH($H58,TBPS[helper],0),1), IF(AND(career_stage="HP",teacher_type="TB"),INDEX(INDIRECT("TBHPS["&amp;X$10&amp;"]"),MATCH($H58,TBHPS[helper],0),1),"")))),""),"")</f>
        <v/>
      </c>
      <c r="Y58" s="391" t="str">
        <f ca="1">IFERROR(IF($N58,IF(AND(career_stage="P",teacher_type="R"),INDEX(INDIRECT("RPS["&amp;Y$10&amp;"]"),MATCH($H58,RPS[helper],0),1), IF(AND(career_stage="HP",teacher_type="R"), INDEX(INDIRECT("RHPS["&amp;Y$10&amp;"]"),MATCH($H58,RHPS[helper],0),1), IF(AND(career_stage="P",teacher_type="TB"),INDEX(INDIRECT("TBPS["&amp;Y$10&amp;"]"),MATCH($H58,TBPS[helper],0),1), IF(AND(career_stage="HP",teacher_type="TB"),INDEX(INDIRECT("TBHPS["&amp;Y$10&amp;"]"),MATCH($H58,TBHPS[helper],0),1),"")))),""),"")</f>
        <v/>
      </c>
      <c r="Z58" s="391" t="str">
        <f ca="1">IFERROR(IF($N58,IF(AND(career_stage="P",teacher_type="R"),INDEX(INDIRECT("RPS["&amp;Z$10&amp;"]"),MATCH($H58,RPS[helper],0),1), IF(AND(career_stage="HP",teacher_type="R"), INDEX(INDIRECT("RHPS["&amp;Z$10&amp;"]"),MATCH($H58,RHPS[helper],0),1), IF(AND(career_stage="P",teacher_type="TB"),INDEX(INDIRECT("TBPS["&amp;Z$10&amp;"]"),MATCH($H58,TBPS[helper],0),1), IF(AND(career_stage="HP",teacher_type="TB"),INDEX(INDIRECT("TBHPS["&amp;Z$10&amp;"]"),MATCH($H58,TBHPS[helper],0),1),"")))),""),"")</f>
        <v/>
      </c>
      <c r="AA58" s="392" t="str" cm="1">
        <f t="array" ref="AA58">IFERROR(INDEX(V58:Z58,6-AC57),"")</f>
        <v/>
      </c>
      <c r="AB58" s="680"/>
      <c r="AC58" s="680"/>
      <c r="AD58" s="680"/>
      <c r="AE58" s="682"/>
      <c r="AF58" s="661"/>
      <c r="AG58" s="5"/>
    </row>
    <row r="59" spans="1:33" hidden="1" x14ac:dyDescent="0.25">
      <c r="A59" s="92">
        <v>16</v>
      </c>
      <c r="B59" s="99" t="str" cm="1">
        <f t="array" ref="B59">IFERROR(IF(AND(teacher_type="R",career_stage="P"),INDEX(RPI[Strand],$A59),IF(AND(teacher_type="R",career_stage="HP"),INDEX(RHPI[Strand],$A59), IF(AND(teacher_type="TB",career_stage="P"),INDEX(TBPI[Strand],$A59), IF(AND(teacher_type="TB",career_stage="HP"),INDEX(TBHPI[Strand],$A59),0)))),0)</f>
        <v>3.3.2</v>
      </c>
      <c r="C59" s="99">
        <f>IFERROR(IF(AND(teacher_type="R",career_stage="P"),VLOOKUP($B59,RPI[[Strand]:[Domain]],COLUMNS(RPI[[Strand]:[Domain]]),FALSE), IF(AND(teacher_type="R",career_stage="HP"),VLOOKUP($B59,RHPI[[Strand]:[Domain]],COLUMNS(RHPI[[Strand]:[Domain]]),FALSE), IF(AND(teacher_type="TB",career_stage="P"),VLOOKUP($B59,TBPI[[Strand]:[Domain]],COLUMNS(TBPI[[Strand]:[Domain]]),FALSE), IF(AND(teacher_type="TB",career_stage="HP"),VLOOKUP($B59,TBHPI[[Strand]:[Domain]],COLUMNS(TBHPI[[Strand]:[Domain]]),FALSE),"")))),"")</f>
        <v>2</v>
      </c>
      <c r="D59" s="99" t="b">
        <f>IFERROR(IF(AND(career_stage="P",teacher_type="R"),VLOOKUP(B59,RPI[],COLUMNS(RPI[[Strand]:[Selected]]),FALSE), IF(AND(career_stage="HP",teacher_type="R"),VLOOKUP(B59,RHPI[],COLUMNS(RHPI[[Strand]:[Selected]]),FALSE), IF(AND(career_stage="P",teacher_type="TB"),VLOOKUP(B59,TBPI[],COLUMNS(TBPI[[Strand]:[Selected]]),FALSE), IF(AND(career_stage="HP",teacher_type="TB"),VLOOKUP(B59,TBHPI[],COLUMNS(TBHPI[[Strand]:[Selected]]),FALSE),FALSE)))),FALSE)</f>
        <v>0</v>
      </c>
      <c r="E59" s="92" t="b">
        <f>COUNTIFS($C$12:$C59,C59,$D$12:$D59,TRUE)=1</f>
        <v>0</v>
      </c>
      <c r="F59" s="92" t="b">
        <f>COUNTIFS($C$12:$C59,$C59,$B$12:$B59,$B59,$D$12:$D59,TRUE)=1</f>
        <v>0</v>
      </c>
      <c r="G59" s="99">
        <f>IF($F59,COUNTIFS($C$12:$C59,C59,$F$12:$F59,TRUE),0)</f>
        <v>0</v>
      </c>
      <c r="H59" s="99" t="str">
        <f t="shared" si="0"/>
        <v>3.3.2-T</v>
      </c>
      <c r="I59" s="99">
        <f>IF(AND(D59,NOT($A59=$A58)),(COUNTIF($D$11:$D58,TRUE)/3)+1,0)</f>
        <v>0</v>
      </c>
      <c r="J59" s="99" t="s">
        <v>1014</v>
      </c>
      <c r="K59" s="99" t="b">
        <f>IF(AND(teacher_type="R",career_stage="P"),IF(AND(COUNTIFS(RPS[Strand],$B59,RPS[QET],$J59)&gt;0,$D59),TRUE,FALSE), IF(AND(teacher_type="R",career_stage="HP"),IF(AND(COUNTIFS(RHPS[Strand],$B59,RHPS[QET],$J59)&gt;0,$D59),TRUE,FALSE), IF(AND(teacher_type="TB",career_stage="P"),IF(AND(COUNTIFS(TBPS[Strand],$B59,TBPS[QET],$J59)&gt;0,$D59),TRUE,FALSE), IF(AND(teacher_type="TB",career_stage="HP"),IF(AND(COUNTIFS(TBHPS[Strand],$B59,TBHPS[QET],$J59)&gt;0,$D59),TRUE,FALSE),FALSE))))</f>
        <v>0</v>
      </c>
      <c r="L59" s="99" t="str">
        <f>IF($K59,IF(AND(teacher_type="R",career_stage="P"),VLOOKUP($B59,RPI[],COLUMNS(RPI[[Strand]:[user_selected_coi_ncoi]]),FALSE), IF(AND(teacher_type="R",career_stage="HP"),VLOOKUP($B59,RHPI[],COLUMNS(RHPI[[Strand]:[user_selected_coi_ncoi]]),FALSE), IF(AND(teacher_type="TB",career_stage="P"),VLOOKUP($B59,TBPI[],COLUMNS(TBPI[[Strand]:[user_selected_coi_ncoi]]),FALSE), IF(AND(teacher_type="TB",career_stage="HP"),VLOOKUP($B59,TBHPI[],COLUMNS(TBHPI[[Strand]:[user_selected_coi_ncoi]]),FALSE),"")))),"")</f>
        <v/>
      </c>
      <c r="M59" s="99" t="b">
        <f>IF(AND(teacher_type="R",career_stage="P"),IF(AND(COUNTIFS(RPS[Strand],$B59,RPS[QET],M$11)&gt;0,$D59),TRUE,FALSE),IF(AND(teacher_type="R",career_stage="HP"),IF(AND(COUNTIFS(RHPS[Strand],$B59,RHPS[QET],M$11)&gt;0,$D59),TRUE,FALSE), IF(AND(teacher_type="TB",career_stage="P"),IF(AND(COUNTIFS(TBPS[Strand],$B59,TBPS[QET],M$11)&gt;0,$D59),TRUE,FALSE), IF(AND(teacher_type="TB",career_stage="HP"),IF(AND(COUNTIFS(TBHPS[Strand],$B59,TBHPS[QET],M$11)&gt;0,$D59),TRUE,FALSE),FALSE))))</f>
        <v>0</v>
      </c>
      <c r="N59" s="99" t="b">
        <f>IF(AND(teacher_type="R",career_stage="P"),IF(AND(COUNTIFS(RPS[Strand],$B59,RPS[QET],N$11)&gt;0,$D59),TRUE,FALSE),IF(AND(teacher_type="R",career_stage="HP"),IF(AND(COUNTIFS(RHPS[Strand],$B59,RHPS[QET],N$11)&gt;0,$D59),TRUE,FALSE), IF(AND(teacher_type="TB",career_stage="P"),IF(AND(COUNTIFS(TBPS[Strand],$B59,TBPS[QET],N$11)&gt;0,$D59),TRUE,FALSE), IF(AND(teacher_type="TB",career_stage="HP"),IF(AND(COUNTIFS(TBHPS[Strand],$B59,TBHPS[QET],N$11)&gt;0,$D59),TRUE,FALSE),FALSE))))</f>
        <v>0</v>
      </c>
      <c r="O59" s="99" t="b">
        <f>IF(AND(teacher_type="R",career_stage="P"),IF(AND(COUNTIFS(RPS[Strand],$B59,RPS[QET],O$11)&gt;0,$D59),TRUE,FALSE),IF(AND(teacher_type="R",career_stage="HP"),IF(AND(COUNTIFS(RHPS[Strand],$B59,RHPS[QET],O$11)&gt;0,$D59),TRUE,FALSE), IF(AND(teacher_type="TB",career_stage="P"),IF(AND(COUNTIFS(TBPS[Strand],$B59,TBPS[QET],O$11)&gt;0,$D59),TRUE,FALSE), IF(AND(teacher_type="TB",career_stage="HP"),IF(AND(COUNTIFS(TBHPS[Strand],$B59,TBHPS[QET],O$11)&gt;0,$D59),TRUE,FALSE),FALSE))))</f>
        <v>0</v>
      </c>
      <c r="P59" s="710"/>
      <c r="Q59" s="662"/>
      <c r="R59" s="663"/>
      <c r="S59" s="664"/>
      <c r="T59" s="678"/>
      <c r="U59" s="94" t="s">
        <v>1187</v>
      </c>
      <c r="V59" s="391" t="str">
        <f ca="1">IFERROR(IF($O59,IF(AND(career_stage="P",teacher_type="R"),INDEX(INDIRECT("RPS["&amp;V$10&amp;"]"),MATCH($H59,RPS[helper],0),1), IF(AND(career_stage="HP",teacher_type="R"), INDEX(INDIRECT("RHPS["&amp;V$10&amp;"]"),MATCH($H59,RHPS[helper],0),1), IF(AND(career_stage="P",teacher_type="TB"),INDEX(INDIRECT("TBPS["&amp;V$10&amp;"]"),MATCH($H59,TBPS[helper],0),1), IF(AND(career_stage="HP",teacher_type="TB"),INDEX(INDIRECT("TBHPS["&amp;V$10&amp;"]"),MATCH($H59,TBHPS[helper],0),1),"")))),""),"")</f>
        <v/>
      </c>
      <c r="W59" s="391" t="str">
        <f ca="1">IFERROR(IF($O59,IF(AND(career_stage="P",teacher_type="R"),INDEX(INDIRECT("RPS["&amp;W$10&amp;"]"),MATCH($H59,RPS[helper],0),1), IF(AND(career_stage="HP",teacher_type="R"), INDEX(INDIRECT("RHPS["&amp;W$10&amp;"]"),MATCH($H59,RHPS[helper],0),1), IF(AND(career_stage="P",teacher_type="TB"),INDEX(INDIRECT("TBPS["&amp;W$10&amp;"]"),MATCH($H59,TBPS[helper],0),1), IF(AND(career_stage="HP",teacher_type="TB"),INDEX(INDIRECT("TBHPS["&amp;W$10&amp;"]"),MATCH($H59,TBHPS[helper],0),1),"")))),""),"")</f>
        <v/>
      </c>
      <c r="X59" s="391" t="str">
        <f ca="1">IFERROR(IF($O59,IF(AND(career_stage="P",teacher_type="R"),INDEX(INDIRECT("RPS["&amp;X$10&amp;"]"),MATCH($H59,RPS[helper],0),1), IF(AND(career_stage="HP",teacher_type="R"), INDEX(INDIRECT("RHPS["&amp;X$10&amp;"]"),MATCH($H59,RHPS[helper],0),1), IF(AND(career_stage="P",teacher_type="TB"),INDEX(INDIRECT("TBPS["&amp;X$10&amp;"]"),MATCH($H59,TBPS[helper],0),1), IF(AND(career_stage="HP",teacher_type="TB"),INDEX(INDIRECT("TBHPS["&amp;X$10&amp;"]"),MATCH($H59,TBHPS[helper],0),1),"")))),""),"")</f>
        <v/>
      </c>
      <c r="Y59" s="391" t="str">
        <f ca="1">IFERROR(IF($O59,IF(AND(career_stage="P",teacher_type="R"),INDEX(INDIRECT("RPS["&amp;Y$10&amp;"]"),MATCH($H59,RPS[helper],0),1), IF(AND(career_stage="HP",teacher_type="R"), INDEX(INDIRECT("RHPS["&amp;Y$10&amp;"]"),MATCH($H59,RHPS[helper],0),1), IF(AND(career_stage="P",teacher_type="TB"),INDEX(INDIRECT("TBPS["&amp;Y$10&amp;"]"),MATCH($H59,TBPS[helper],0),1), IF(AND(career_stage="HP",teacher_type="TB"),INDEX(INDIRECT("TBHPS["&amp;Y$10&amp;"]"),MATCH($H59,TBHPS[helper],0),1),"")))),""),"")</f>
        <v/>
      </c>
      <c r="Z59" s="391" t="str">
        <f ca="1">IFERROR(IF($O59,IF(AND(career_stage="P",teacher_type="R"),INDEX(INDIRECT("RPS["&amp;Z$10&amp;"]"),MATCH($H59,RPS[helper],0),1), IF(AND(career_stage="HP",teacher_type="R"), INDEX(INDIRECT("RHPS["&amp;Z$10&amp;"]"),MATCH($H59,RHPS[helper],0),1), IF(AND(career_stage="P",teacher_type="TB"),INDEX(INDIRECT("TBPS["&amp;Z$10&amp;"]"),MATCH($H59,TBPS[helper],0),1), IF(AND(career_stage="HP",teacher_type="TB"),INDEX(INDIRECT("TBHPS["&amp;Z$10&amp;"]"),MATCH($H59,TBHPS[helper],0),1),"")))),""),"")</f>
        <v/>
      </c>
      <c r="AA59" s="391" t="str" cm="1">
        <f t="array" ref="AA59">IFERROR(INDEX(V59:Z59,6-AD57),"")</f>
        <v/>
      </c>
      <c r="AB59" s="680"/>
      <c r="AC59" s="680"/>
      <c r="AD59" s="680"/>
      <c r="AE59" s="682"/>
      <c r="AF59" s="661"/>
      <c r="AG59" s="5"/>
    </row>
    <row r="60" spans="1:33" hidden="1" x14ac:dyDescent="0.25">
      <c r="A60" s="92">
        <v>17</v>
      </c>
      <c r="B60" s="99" t="str" cm="1">
        <f t="array" ref="B60">IFERROR(IF(AND(teacher_type="R",career_stage="P"),INDEX(RPI[Strand],$A60),IF(AND(teacher_type="R",career_stage="HP"),INDEX(RHPI[Strand],$A60), IF(AND(teacher_type="TB",career_stage="P"),INDEX(TBPI[Strand],$A60), IF(AND(teacher_type="TB",career_stage="HP"),INDEX(TBHPI[Strand],$A60),0)))),0)</f>
        <v>3.4.2</v>
      </c>
      <c r="C60" s="99">
        <f>IFERROR(IF(AND(teacher_type="R",career_stage="P"),VLOOKUP($B60,RPI[[Strand]:[Domain]],COLUMNS(RPI[[Strand]:[Domain]]),FALSE), IF(AND(teacher_type="R",career_stage="HP"),VLOOKUP($B60,RHPI[[Strand]:[Domain]],COLUMNS(RHPI[[Strand]:[Domain]]),FALSE), IF(AND(teacher_type="TB",career_stage="P"),VLOOKUP($B60,TBPI[[Strand]:[Domain]],COLUMNS(TBPI[[Strand]:[Domain]]),FALSE), IF(AND(teacher_type="TB",career_stage="HP"),VLOOKUP($B60,TBHPI[[Strand]:[Domain]],COLUMNS(TBHPI[[Strand]:[Domain]]),FALSE),"")))),"")</f>
        <v>2</v>
      </c>
      <c r="D60" s="99" t="b">
        <f>IFERROR(IF(AND(career_stage="P",teacher_type="R"),VLOOKUP(B60,RPI[],COLUMNS(RPI[[Strand]:[Selected]]),FALSE), IF(AND(career_stage="HP",teacher_type="R"),VLOOKUP(B60,RHPI[],COLUMNS(RHPI[[Strand]:[Selected]]),FALSE), IF(AND(career_stage="P",teacher_type="TB"),VLOOKUP(B60,TBPI[],COLUMNS(TBPI[[Strand]:[Selected]]),FALSE), IF(AND(career_stage="HP",teacher_type="TB"),VLOOKUP(B60,TBHPI[],COLUMNS(TBHPI[[Strand]:[Selected]]),FALSE),FALSE)))),FALSE)</f>
        <v>0</v>
      </c>
      <c r="E60" s="92" t="b">
        <f>COUNTIFS($C$12:$C60,C60,$D$12:$D60,TRUE)=1</f>
        <v>0</v>
      </c>
      <c r="F60" s="92" t="b">
        <f>COUNTIFS($C$12:$C60,$C60,$B$12:$B60,$B60,$D$12:$D60,TRUE)=1</f>
        <v>0</v>
      </c>
      <c r="G60" s="99">
        <f>IF($F60,COUNTIFS($C$12:$C60,C60,$F$12:$F60,TRUE),0)</f>
        <v>0</v>
      </c>
      <c r="H60" s="99" t="str">
        <f t="shared" si="0"/>
        <v>3.4.2-Q</v>
      </c>
      <c r="I60" s="99">
        <f>IF(AND(D60,NOT($A60=$A59)),(COUNTIF($D$11:$D59,TRUE)/3)+1,0)</f>
        <v>0</v>
      </c>
      <c r="J60" s="99" t="s">
        <v>1012</v>
      </c>
      <c r="K60" s="99" t="b">
        <f>IF(AND(teacher_type="R",career_stage="P"),IF(AND(COUNTIFS(RPS[Strand],$B60,RPS[QET],$J60)&gt;0,$D60),TRUE,FALSE), IF(AND(teacher_type="R",career_stage="HP"),IF(AND(COUNTIFS(RHPS[Strand],$B60,RHPS[QET],$J60)&gt;0,$D60),TRUE,FALSE), IF(AND(teacher_type="TB",career_stage="P"),IF(AND(COUNTIFS(TBPS[Strand],$B60,TBPS[QET],$J60)&gt;0,$D60),TRUE,FALSE), IF(AND(teacher_type="TB",career_stage="HP"),IF(AND(COUNTIFS(TBHPS[Strand],$B60,TBHPS[QET],$J60)&gt;0,$D60),TRUE,FALSE),FALSE))))</f>
        <v>0</v>
      </c>
      <c r="L60" s="99" t="str">
        <f>IF($K60,IF(AND(teacher_type="R",career_stage="P"),VLOOKUP($B60,RPI[],COLUMNS(RPI[[Strand]:[user_selected_coi_ncoi]]),FALSE), IF(AND(teacher_type="R",career_stage="HP"),VLOOKUP($B60,RHPI[],COLUMNS(RHPI[[Strand]:[user_selected_coi_ncoi]]),FALSE), IF(AND(teacher_type="TB",career_stage="P"),VLOOKUP($B60,TBPI[],COLUMNS(TBPI[[Strand]:[user_selected_coi_ncoi]]),FALSE), IF(AND(teacher_type="TB",career_stage="HP"),VLOOKUP($B60,TBHPI[],COLUMNS(TBHPI[[Strand]:[user_selected_coi_ncoi]]),FALSE),"")))),"")</f>
        <v/>
      </c>
      <c r="M60" s="99" t="b">
        <f>IF(AND(teacher_type="R",career_stage="P"),IF(AND(COUNTIFS(RPS[Strand],$B60,RPS[QET],M$11)&gt;0,$D60),TRUE,FALSE),IF(AND(teacher_type="R",career_stage="HP"),IF(AND(COUNTIFS(RHPS[Strand],$B60,RHPS[QET],M$11)&gt;0,$D60),TRUE,FALSE), IF(AND(teacher_type="TB",career_stage="P"),IF(AND(COUNTIFS(TBPS[Strand],$B60,TBPS[QET],M$11)&gt;0,$D60),TRUE,FALSE), IF(AND(teacher_type="TB",career_stage="HP"),IF(AND(COUNTIFS(TBHPS[Strand],$B60,TBHPS[QET],M$11)&gt;0,$D60),TRUE,FALSE),FALSE))))</f>
        <v>0</v>
      </c>
      <c r="N60" s="99" t="b">
        <f>IF(AND(teacher_type="R",career_stage="P"),IF(AND(COUNTIFS(RPS[Strand],$B60,RPS[QET],N$11)&gt;0,$D60),TRUE,FALSE),IF(AND(teacher_type="R",career_stage="HP"),IF(AND(COUNTIFS(RHPS[Strand],$B60,RHPS[QET],N$11)&gt;0,$D60),TRUE,FALSE), IF(AND(teacher_type="TB",career_stage="P"),IF(AND(COUNTIFS(TBPS[Strand],$B60,TBPS[QET],N$11)&gt;0,$D60),TRUE,FALSE), IF(AND(teacher_type="TB",career_stage="HP"),IF(AND(COUNTIFS(TBHPS[Strand],$B60,TBHPS[QET],N$11)&gt;0,$D60),TRUE,FALSE),FALSE))))</f>
        <v>0</v>
      </c>
      <c r="O60" s="99" t="b">
        <f>IF(AND(teacher_type="R",career_stage="P"),IF(AND(COUNTIFS(RPS[Strand],$B60,RPS[QET],O$11)&gt;0,$D60),TRUE,FALSE),IF(AND(teacher_type="R",career_stage="HP"),IF(AND(COUNTIFS(RHPS[Strand],$B60,RHPS[QET],O$11)&gt;0,$D60),TRUE,FALSE), IF(AND(teacher_type="TB",career_stage="P"),IF(AND(COUNTIFS(TBPS[Strand],$B60,TBPS[QET],O$11)&gt;0,$D60),TRUE,FALSE), IF(AND(teacher_type="TB",career_stage="HP"),IF(AND(COUNTIFS(TBHPS[Strand],$B60,TBHPS[QET],O$11)&gt;0,$D60),TRUE,FALSE),FALSE))))</f>
        <v>0</v>
      </c>
      <c r="P60" s="710"/>
      <c r="Q60" s="662" t="str">
        <f>IFERROR(IF(E60,IF(C60="Plus Factor","Plus Factor",C60 &amp; ". " &amp; INDEX(Domains[Domain],MATCH(C60,Domains[Domain_code],0),1)),""),"")</f>
        <v/>
      </c>
      <c r="R60" s="663" t="str">
        <f>IFERROR(IF($F60,$I60 &amp; ". " &amp; IF(AND(career_stage="P",teacher_type="R"), INDEX(RPI[PPST Indicators],MATCH($B60,RPI[Strand],0),1), IF(AND(career_stage="HP",teacher_type="R"),INDEX(RHPI[PPST Indicators],MATCH($B60,RHPI[Strand],0),1), IF(AND(career_stage="P",teacher_type="TB"),INDEX(TBPI[PPST Indicators],MATCH($B60,TBPI[Strand],0),1), IF(AND(career_stage="HP",teacher_type="TB"),INDEX(TBHPI[PPST Indicators],MATCH($B60,TBHPI[Strand],0),1),"")))) &amp; IF(NOT(TRIM(LOWER($C60))="plus factor")," (PPST "&amp;B60&amp;")",""),""),"")</f>
        <v/>
      </c>
      <c r="S60" s="664" t="str" cm="1">
        <f t="array" ref="S60">demographics[rating_period]</f>
        <v>SY 2023-2024</v>
      </c>
      <c r="T60" s="678">
        <f>IFERROR(IF(AND(career_stage="P",teacher_type="R"),VLOOKUP(B60,RPI[],COLUMNS(RPI[[Strand]:[Weight]]),FALSE), IF(AND(career_stage="HP",teacher_type="R"),VLOOKUP(B60,RHPI[],COLUMNS(RHPI[[Strand]:[Weight]]),FALSE), IF(AND(career_stage="P",teacher_type="TB"),VLOOKUP(B60,TBPI[],COLUMNS(TBPI[[Strand]:[Weight]]),FALSE), IF(AND(career_stage="HP",teacher_type="TB"),VLOOKUP(B60,TBHPI[],COLUMNS(TBHPI[[Strand]:[Weight]]),FALSE),0)))),0)</f>
        <v>0</v>
      </c>
      <c r="U60" s="94" t="s">
        <v>1185</v>
      </c>
      <c r="V60" s="391" t="str">
        <f ca="1">IFERROR(IF($M60,IF(AND(career_stage="P",teacher_type="R"),INDEX(INDIRECT("RPS["&amp;V$10&amp;"]"),MATCH($H60,RPS[helper],0),1), IF(AND(career_stage="HP",teacher_type="R"), INDEX(INDIRECT("RHPS["&amp;V$10&amp;"]"),MATCH($H60,RHPS[helper],0),1), IF(AND(career_stage="P",teacher_type="TB"),INDEX(INDIRECT("TBPS["&amp;V$10&amp;"]"),MATCH($H60,TBPS[helper],0),1), IF(AND(career_stage="HP",teacher_type="TB"),INDEX(INDIRECT("TBHPS["&amp;V$10&amp;"]"),MATCH($H60,TBHPS[helper],0),1),"")))),""),"")</f>
        <v/>
      </c>
      <c r="W60" s="391" t="str">
        <f ca="1">IFERROR(IF($M60,IF(AND(career_stage="P",teacher_type="R"),INDEX(INDIRECT("RPS["&amp;W$10&amp;"]"),MATCH($H60,RPS[helper],0),1), IF(AND(career_stage="HP",teacher_type="R"), INDEX(INDIRECT("RHPS["&amp;W$10&amp;"]"),MATCH($H60,RHPS[helper],0),1), IF(AND(career_stage="P",teacher_type="TB"),INDEX(INDIRECT("TBPS["&amp;W$10&amp;"]"),MATCH($H60,TBPS[helper],0),1), IF(AND(career_stage="HP",teacher_type="TB"),INDEX(INDIRECT("TBHPS["&amp;W$10&amp;"]"),MATCH($H60,TBHPS[helper],0),1),"")))),""),"")</f>
        <v/>
      </c>
      <c r="X60" s="391" t="str">
        <f ca="1">IFERROR(IF($M60,IF(AND(career_stage="P",teacher_type="R"),INDEX(INDIRECT("RPS["&amp;X$10&amp;"]"),MATCH($H60,RPS[helper],0),1), IF(AND(career_stage="HP",teacher_type="R"), INDEX(INDIRECT("RHPS["&amp;X$10&amp;"]"),MATCH($H60,RHPS[helper],0),1), IF(AND(career_stage="P",teacher_type="TB"),INDEX(INDIRECT("TBPS["&amp;X$10&amp;"]"),MATCH($H60,TBPS[helper],0),1), IF(AND(career_stage="HP",teacher_type="TB"),INDEX(INDIRECT("TBHPS["&amp;X$10&amp;"]"),MATCH($H60,TBHPS[helper],0),1),"")))),""),"")</f>
        <v/>
      </c>
      <c r="Y60" s="391" t="str">
        <f ca="1">IFERROR(IF($M60,IF(AND(career_stage="P",teacher_type="R"),INDEX(INDIRECT("RPS["&amp;Y$10&amp;"]"),MATCH($H60,RPS[helper],0),1), IF(AND(career_stage="HP",teacher_type="R"), INDEX(INDIRECT("RHPS["&amp;Y$10&amp;"]"),MATCH($H60,RHPS[helper],0),1), IF(AND(career_stage="P",teacher_type="TB"),INDEX(INDIRECT("TBPS["&amp;Y$10&amp;"]"),MATCH($H60,TBPS[helper],0),1), IF(AND(career_stage="HP",teacher_type="TB"),INDEX(INDIRECT("TBHPS["&amp;Y$10&amp;"]"),MATCH($H60,TBHPS[helper],0),1),"")))),""),"")</f>
        <v/>
      </c>
      <c r="Z60" s="391" t="str">
        <f ca="1">IFERROR(IF($M60,IF(AND(career_stage="P",teacher_type="R"),INDEX(INDIRECT("RPS["&amp;Z$10&amp;"]"),MATCH($H60,RPS[helper],0),1), IF(AND(career_stage="HP",teacher_type="R"), INDEX(INDIRECT("RHPS["&amp;Z$10&amp;"]"),MATCH($H60,RHPS[helper],0),1), IF(AND(career_stage="P",teacher_type="TB"),INDEX(INDIRECT("TBPS["&amp;Z$10&amp;"]"),MATCH($H60,TBPS[helper],0),1), IF(AND(career_stage="HP",teacher_type="TB"),INDEX(INDIRECT("TBHPS["&amp;Z$10&amp;"]"),MATCH($H60,TBHPS[helper],0),1),"")))),""),"")</f>
        <v/>
      </c>
      <c r="AA60" s="392" t="str" cm="1">
        <f t="array" ref="AA60">IFERROR(INDEX(V60:Z60,6-AB60),"")</f>
        <v/>
      </c>
      <c r="AB60" s="680" t="str">
        <f>IF('Encoding Part 1'!AB38="","",'Encoding Part 1'!AB38)</f>
        <v/>
      </c>
      <c r="AC60" s="680" t="str">
        <f>IF('Encoding Part 1'!AC38="","",'Encoding Part 1'!AC38)</f>
        <v/>
      </c>
      <c r="AD60" s="680" t="str">
        <f>IF('Encoding Part 1'!AD38="","",'Encoding Part 1'!AD38)</f>
        <v/>
      </c>
      <c r="AE60" s="682">
        <f t="shared" ref="AE60" si="31">IFERROR(ROUNDDOWN(AVERAGE($AB60:$AD60),3),0)</f>
        <v>0</v>
      </c>
      <c r="AF60" s="661">
        <f t="shared" ref="AF60" si="32">ROUNDDOWN($AE60*$T60,3)</f>
        <v>0</v>
      </c>
      <c r="AG60" s="5"/>
    </row>
    <row r="61" spans="1:33" hidden="1" x14ac:dyDescent="0.25">
      <c r="A61" s="92">
        <v>17</v>
      </c>
      <c r="B61" s="99" t="str" cm="1">
        <f t="array" ref="B61">IFERROR(IF(AND(teacher_type="R",career_stage="P"),INDEX(RPI[Strand],$A61),IF(AND(teacher_type="R",career_stage="HP"),INDEX(RHPI[Strand],$A61), IF(AND(teacher_type="TB",career_stage="P"),INDEX(TBPI[Strand],$A61), IF(AND(teacher_type="TB",career_stage="HP"),INDEX(TBHPI[Strand],$A61),0)))),0)</f>
        <v>3.4.2</v>
      </c>
      <c r="C61" s="99">
        <f>IFERROR(IF(AND(teacher_type="R",career_stage="P"),VLOOKUP($B61,RPI[[Strand]:[Domain]],COLUMNS(RPI[[Strand]:[Domain]]),FALSE), IF(AND(teacher_type="R",career_stage="HP"),VLOOKUP($B61,RHPI[[Strand]:[Domain]],COLUMNS(RHPI[[Strand]:[Domain]]),FALSE), IF(AND(teacher_type="TB",career_stage="P"),VLOOKUP($B61,TBPI[[Strand]:[Domain]],COLUMNS(TBPI[[Strand]:[Domain]]),FALSE), IF(AND(teacher_type="TB",career_stage="HP"),VLOOKUP($B61,TBHPI[[Strand]:[Domain]],COLUMNS(TBHPI[[Strand]:[Domain]]),FALSE),"")))),"")</f>
        <v>2</v>
      </c>
      <c r="D61" s="99" t="b">
        <f>IFERROR(IF(AND(career_stage="P",teacher_type="R"),VLOOKUP(B61,RPI[],COLUMNS(RPI[[Strand]:[Selected]]),FALSE), IF(AND(career_stage="HP",teacher_type="R"),VLOOKUP(B61,RHPI[],COLUMNS(RHPI[[Strand]:[Selected]]),FALSE), IF(AND(career_stage="P",teacher_type="TB"),VLOOKUP(B61,TBPI[],COLUMNS(TBPI[[Strand]:[Selected]]),FALSE), IF(AND(career_stage="HP",teacher_type="TB"),VLOOKUP(B61,TBHPI[],COLUMNS(TBHPI[[Strand]:[Selected]]),FALSE),FALSE)))),FALSE)</f>
        <v>0</v>
      </c>
      <c r="E61" s="92" t="b">
        <f>COUNTIFS($C$12:$C61,C61,$D$12:$D61,TRUE)=1</f>
        <v>0</v>
      </c>
      <c r="F61" s="92" t="b">
        <f>COUNTIFS($C$12:$C61,$C61,$B$12:$B61,$B61,$D$12:$D61,TRUE)=1</f>
        <v>0</v>
      </c>
      <c r="G61" s="99">
        <f>IF($F61,COUNTIFS($C$12:$C61,C61,$F$12:$F61,TRUE),0)</f>
        <v>0</v>
      </c>
      <c r="H61" s="99" t="str">
        <f t="shared" si="0"/>
        <v>3.4.2-E</v>
      </c>
      <c r="I61" s="99">
        <f>IF(AND(D61,NOT($A61=$A60)),(COUNTIF($D$11:$D60,TRUE)/3)+1,0)</f>
        <v>0</v>
      </c>
      <c r="J61" s="99" t="s">
        <v>1073</v>
      </c>
      <c r="K61" s="99" t="b">
        <f>IF(AND(teacher_type="R",career_stage="P"),IF(AND(COUNTIFS(RPS[Strand],$B61,RPS[QET],$J61)&gt;0,$D61),TRUE,FALSE), IF(AND(teacher_type="R",career_stage="HP"),IF(AND(COUNTIFS(RHPS[Strand],$B61,RHPS[QET],$J61)&gt;0,$D61),TRUE,FALSE), IF(AND(teacher_type="TB",career_stage="P"),IF(AND(COUNTIFS(TBPS[Strand],$B61,TBPS[QET],$J61)&gt;0,$D61),TRUE,FALSE), IF(AND(teacher_type="TB",career_stage="HP"),IF(AND(COUNTIFS(TBHPS[Strand],$B61,TBHPS[QET],$J61)&gt;0,$D61),TRUE,FALSE),FALSE))))</f>
        <v>0</v>
      </c>
      <c r="L61" s="99" t="str">
        <f>IF($K61,IF(AND(teacher_type="R",career_stage="P"),VLOOKUP($B61,RPI[],COLUMNS(RPI[[Strand]:[user_selected_coi_ncoi]]),FALSE), IF(AND(teacher_type="R",career_stage="HP"),VLOOKUP($B61,RHPI[],COLUMNS(RHPI[[Strand]:[user_selected_coi_ncoi]]),FALSE), IF(AND(teacher_type="TB",career_stage="P"),VLOOKUP($B61,TBPI[],COLUMNS(TBPI[[Strand]:[user_selected_coi_ncoi]]),FALSE), IF(AND(teacher_type="TB",career_stage="HP"),VLOOKUP($B61,TBHPI[],COLUMNS(TBHPI[[Strand]:[user_selected_coi_ncoi]]),FALSE),"")))),"")</f>
        <v/>
      </c>
      <c r="M61" s="99" t="b">
        <f>IF(AND(teacher_type="R",career_stage="P"),IF(AND(COUNTIFS(RPS[Strand],$B61,RPS[QET],M$11)&gt;0,$D61),TRUE,FALSE),IF(AND(teacher_type="R",career_stage="HP"),IF(AND(COUNTIFS(RHPS[Strand],$B61,RHPS[QET],M$11)&gt;0,$D61),TRUE,FALSE), IF(AND(teacher_type="TB",career_stage="P"),IF(AND(COUNTIFS(TBPS[Strand],$B61,TBPS[QET],M$11)&gt;0,$D61),TRUE,FALSE), IF(AND(teacher_type="TB",career_stage="HP"),IF(AND(COUNTIFS(TBHPS[Strand],$B61,TBHPS[QET],M$11)&gt;0,$D61),TRUE,FALSE),FALSE))))</f>
        <v>0</v>
      </c>
      <c r="N61" s="99" t="b">
        <f>IF(AND(teacher_type="R",career_stage="P"),IF(AND(COUNTIFS(RPS[Strand],$B61,RPS[QET],N$11)&gt;0,$D61),TRUE,FALSE),IF(AND(teacher_type="R",career_stage="HP"),IF(AND(COUNTIFS(RHPS[Strand],$B61,RHPS[QET],N$11)&gt;0,$D61),TRUE,FALSE), IF(AND(teacher_type="TB",career_stage="P"),IF(AND(COUNTIFS(TBPS[Strand],$B61,TBPS[QET],N$11)&gt;0,$D61),TRUE,FALSE), IF(AND(teacher_type="TB",career_stage="HP"),IF(AND(COUNTIFS(TBHPS[Strand],$B61,TBHPS[QET],N$11)&gt;0,$D61),TRUE,FALSE),FALSE))))</f>
        <v>0</v>
      </c>
      <c r="O61" s="99" t="b">
        <f>IF(AND(teacher_type="R",career_stage="P"),IF(AND(COUNTIFS(RPS[Strand],$B61,RPS[QET],O$11)&gt;0,$D61),TRUE,FALSE),IF(AND(teacher_type="R",career_stage="HP"),IF(AND(COUNTIFS(RHPS[Strand],$B61,RHPS[QET],O$11)&gt;0,$D61),TRUE,FALSE), IF(AND(teacher_type="TB",career_stage="P"),IF(AND(COUNTIFS(TBPS[Strand],$B61,TBPS[QET],O$11)&gt;0,$D61),TRUE,FALSE), IF(AND(teacher_type="TB",career_stage="HP"),IF(AND(COUNTIFS(TBHPS[Strand],$B61,TBHPS[QET],O$11)&gt;0,$D61),TRUE,FALSE),FALSE))))</f>
        <v>0</v>
      </c>
      <c r="P61" s="710"/>
      <c r="Q61" s="662"/>
      <c r="R61" s="663"/>
      <c r="S61" s="664"/>
      <c r="T61" s="678"/>
      <c r="U61" s="94" t="s">
        <v>1186</v>
      </c>
      <c r="V61" s="391" t="str">
        <f ca="1">IFERROR(IF($N61,IF(AND(career_stage="P",teacher_type="R"),INDEX(INDIRECT("RPS["&amp;V$10&amp;"]"),MATCH($H61,RPS[helper],0),1), IF(AND(career_stage="HP",teacher_type="R"), INDEX(INDIRECT("RHPS["&amp;V$10&amp;"]"),MATCH($H61,RHPS[helper],0),1), IF(AND(career_stage="P",teacher_type="TB"),INDEX(INDIRECT("TBPS["&amp;V$10&amp;"]"),MATCH($H61,TBPS[helper],0),1), IF(AND(career_stage="HP",teacher_type="TB"),INDEX(INDIRECT("TBHPS["&amp;V$10&amp;"]"),MATCH($H61,TBHPS[helper],0),1),"")))),""),"")</f>
        <v/>
      </c>
      <c r="W61" s="391" t="str">
        <f ca="1">IFERROR(IF($N61,IF(AND(career_stage="P",teacher_type="R"),INDEX(INDIRECT("RPS["&amp;W$10&amp;"]"),MATCH($H61,RPS[helper],0),1), IF(AND(career_stage="HP",teacher_type="R"), INDEX(INDIRECT("RHPS["&amp;W$10&amp;"]"),MATCH($H61,RHPS[helper],0),1), IF(AND(career_stage="P",teacher_type="TB"),INDEX(INDIRECT("TBPS["&amp;W$10&amp;"]"),MATCH($H61,TBPS[helper],0),1), IF(AND(career_stage="HP",teacher_type="TB"),INDEX(INDIRECT("TBHPS["&amp;W$10&amp;"]"),MATCH($H61,TBHPS[helper],0),1),"")))),""),"")</f>
        <v/>
      </c>
      <c r="X61" s="391" t="str">
        <f ca="1">IFERROR(IF($N61,IF(AND(career_stage="P",teacher_type="R"),INDEX(INDIRECT("RPS["&amp;X$10&amp;"]"),MATCH($H61,RPS[helper],0),1), IF(AND(career_stage="HP",teacher_type="R"), INDEX(INDIRECT("RHPS["&amp;X$10&amp;"]"),MATCH($H61,RHPS[helper],0),1), IF(AND(career_stage="P",teacher_type="TB"),INDEX(INDIRECT("TBPS["&amp;X$10&amp;"]"),MATCH($H61,TBPS[helper],0),1), IF(AND(career_stage="HP",teacher_type="TB"),INDEX(INDIRECT("TBHPS["&amp;X$10&amp;"]"),MATCH($H61,TBHPS[helper],0),1),"")))),""),"")</f>
        <v/>
      </c>
      <c r="Y61" s="391" t="str">
        <f ca="1">IFERROR(IF($N61,IF(AND(career_stage="P",teacher_type="R"),INDEX(INDIRECT("RPS["&amp;Y$10&amp;"]"),MATCH($H61,RPS[helper],0),1), IF(AND(career_stage="HP",teacher_type="R"), INDEX(INDIRECT("RHPS["&amp;Y$10&amp;"]"),MATCH($H61,RHPS[helper],0),1), IF(AND(career_stage="P",teacher_type="TB"),INDEX(INDIRECT("TBPS["&amp;Y$10&amp;"]"),MATCH($H61,TBPS[helper],0),1), IF(AND(career_stage="HP",teacher_type="TB"),INDEX(INDIRECT("TBHPS["&amp;Y$10&amp;"]"),MATCH($H61,TBHPS[helper],0),1),"")))),""),"")</f>
        <v/>
      </c>
      <c r="Z61" s="391" t="str">
        <f ca="1">IFERROR(IF($N61,IF(AND(career_stage="P",teacher_type="R"),INDEX(INDIRECT("RPS["&amp;Z$10&amp;"]"),MATCH($H61,RPS[helper],0),1), IF(AND(career_stage="HP",teacher_type="R"), INDEX(INDIRECT("RHPS["&amp;Z$10&amp;"]"),MATCH($H61,RHPS[helper],0),1), IF(AND(career_stage="P",teacher_type="TB"),INDEX(INDIRECT("TBPS["&amp;Z$10&amp;"]"),MATCH($H61,TBPS[helper],0),1), IF(AND(career_stage="HP",teacher_type="TB"),INDEX(INDIRECT("TBHPS["&amp;Z$10&amp;"]"),MATCH($H61,TBHPS[helper],0),1),"")))),""),"")</f>
        <v/>
      </c>
      <c r="AA61" s="392" t="str" cm="1">
        <f t="array" ref="AA61">IFERROR(INDEX(V61:Z61,6-AC60),"")</f>
        <v/>
      </c>
      <c r="AB61" s="680"/>
      <c r="AC61" s="680"/>
      <c r="AD61" s="680"/>
      <c r="AE61" s="682"/>
      <c r="AF61" s="661"/>
      <c r="AG61" s="5"/>
    </row>
    <row r="62" spans="1:33" hidden="1" x14ac:dyDescent="0.25">
      <c r="A62" s="92">
        <v>17</v>
      </c>
      <c r="B62" s="99" t="str" cm="1">
        <f t="array" ref="B62">IFERROR(IF(AND(teacher_type="R",career_stage="P"),INDEX(RPI[Strand],$A62),IF(AND(teacher_type="R",career_stage="HP"),INDEX(RHPI[Strand],$A62), IF(AND(teacher_type="TB",career_stage="P"),INDEX(TBPI[Strand],$A62), IF(AND(teacher_type="TB",career_stage="HP"),INDEX(TBHPI[Strand],$A62),0)))),0)</f>
        <v>3.4.2</v>
      </c>
      <c r="C62" s="99">
        <f>IFERROR(IF(AND(teacher_type="R",career_stage="P"),VLOOKUP($B62,RPI[[Strand]:[Domain]],COLUMNS(RPI[[Strand]:[Domain]]),FALSE), IF(AND(teacher_type="R",career_stage="HP"),VLOOKUP($B62,RHPI[[Strand]:[Domain]],COLUMNS(RHPI[[Strand]:[Domain]]),FALSE), IF(AND(teacher_type="TB",career_stage="P"),VLOOKUP($B62,TBPI[[Strand]:[Domain]],COLUMNS(TBPI[[Strand]:[Domain]]),FALSE), IF(AND(teacher_type="TB",career_stage="HP"),VLOOKUP($B62,TBHPI[[Strand]:[Domain]],COLUMNS(TBHPI[[Strand]:[Domain]]),FALSE),"")))),"")</f>
        <v>2</v>
      </c>
      <c r="D62" s="99" t="b">
        <f>IFERROR(IF(AND(career_stage="P",teacher_type="R"),VLOOKUP(B62,RPI[],COLUMNS(RPI[[Strand]:[Selected]]),FALSE), IF(AND(career_stage="HP",teacher_type="R"),VLOOKUP(B62,RHPI[],COLUMNS(RHPI[[Strand]:[Selected]]),FALSE), IF(AND(career_stage="P",teacher_type="TB"),VLOOKUP(B62,TBPI[],COLUMNS(TBPI[[Strand]:[Selected]]),FALSE), IF(AND(career_stage="HP",teacher_type="TB"),VLOOKUP(B62,TBHPI[],COLUMNS(TBHPI[[Strand]:[Selected]]),FALSE),FALSE)))),FALSE)</f>
        <v>0</v>
      </c>
      <c r="E62" s="92" t="b">
        <f>COUNTIFS($C$12:$C62,C62,$D$12:$D62,TRUE)=1</f>
        <v>0</v>
      </c>
      <c r="F62" s="92" t="b">
        <f>COUNTIFS($C$12:$C62,$C62,$B$12:$B62,$B62,$D$12:$D62,TRUE)=1</f>
        <v>0</v>
      </c>
      <c r="G62" s="99">
        <f>IF($F62,COUNTIFS($C$12:$C62,C62,$F$12:$F62,TRUE),0)</f>
        <v>0</v>
      </c>
      <c r="H62" s="99" t="str">
        <f t="shared" si="0"/>
        <v>3.4.2-T</v>
      </c>
      <c r="I62" s="99">
        <f>IF(AND(D62,NOT($A62=$A61)),(COUNTIF($D$11:$D61,TRUE)/3)+1,0)</f>
        <v>0</v>
      </c>
      <c r="J62" s="99" t="s">
        <v>1014</v>
      </c>
      <c r="K62" s="99" t="b">
        <f>IF(AND(teacher_type="R",career_stage="P"),IF(AND(COUNTIFS(RPS[Strand],$B62,RPS[QET],$J62)&gt;0,$D62),TRUE,FALSE), IF(AND(teacher_type="R",career_stage="HP"),IF(AND(COUNTIFS(RHPS[Strand],$B62,RHPS[QET],$J62)&gt;0,$D62),TRUE,FALSE), IF(AND(teacher_type="TB",career_stage="P"),IF(AND(COUNTIFS(TBPS[Strand],$B62,TBPS[QET],$J62)&gt;0,$D62),TRUE,FALSE), IF(AND(teacher_type="TB",career_stage="HP"),IF(AND(COUNTIFS(TBHPS[Strand],$B62,TBHPS[QET],$J62)&gt;0,$D62),TRUE,FALSE),FALSE))))</f>
        <v>0</v>
      </c>
      <c r="L62" s="99" t="str">
        <f>IF($K62,IF(AND(teacher_type="R",career_stage="P"),VLOOKUP($B62,RPI[],COLUMNS(RPI[[Strand]:[user_selected_coi_ncoi]]),FALSE), IF(AND(teacher_type="R",career_stage="HP"),VLOOKUP($B62,RHPI[],COLUMNS(RHPI[[Strand]:[user_selected_coi_ncoi]]),FALSE), IF(AND(teacher_type="TB",career_stage="P"),VLOOKUP($B62,TBPI[],COLUMNS(TBPI[[Strand]:[user_selected_coi_ncoi]]),FALSE), IF(AND(teacher_type="TB",career_stage="HP"),VLOOKUP($B62,TBHPI[],COLUMNS(TBHPI[[Strand]:[user_selected_coi_ncoi]]),FALSE),"")))),"")</f>
        <v/>
      </c>
      <c r="M62" s="99" t="b">
        <f>IF(AND(teacher_type="R",career_stage="P"),IF(AND(COUNTIFS(RPS[Strand],$B62,RPS[QET],M$11)&gt;0,$D62),TRUE,FALSE),IF(AND(teacher_type="R",career_stage="HP"),IF(AND(COUNTIFS(RHPS[Strand],$B62,RHPS[QET],M$11)&gt;0,$D62),TRUE,FALSE), IF(AND(teacher_type="TB",career_stage="P"),IF(AND(COUNTIFS(TBPS[Strand],$B62,TBPS[QET],M$11)&gt;0,$D62),TRUE,FALSE), IF(AND(teacher_type="TB",career_stage="HP"),IF(AND(COUNTIFS(TBHPS[Strand],$B62,TBHPS[QET],M$11)&gt;0,$D62),TRUE,FALSE),FALSE))))</f>
        <v>0</v>
      </c>
      <c r="N62" s="99" t="b">
        <f>IF(AND(teacher_type="R",career_stage="P"),IF(AND(COUNTIFS(RPS[Strand],$B62,RPS[QET],N$11)&gt;0,$D62),TRUE,FALSE),IF(AND(teacher_type="R",career_stage="HP"),IF(AND(COUNTIFS(RHPS[Strand],$B62,RHPS[QET],N$11)&gt;0,$D62),TRUE,FALSE), IF(AND(teacher_type="TB",career_stage="P"),IF(AND(COUNTIFS(TBPS[Strand],$B62,TBPS[QET],N$11)&gt;0,$D62),TRUE,FALSE), IF(AND(teacher_type="TB",career_stage="HP"),IF(AND(COUNTIFS(TBHPS[Strand],$B62,TBHPS[QET],N$11)&gt;0,$D62),TRUE,FALSE),FALSE))))</f>
        <v>0</v>
      </c>
      <c r="O62" s="99" t="b">
        <f>IF(AND(teacher_type="R",career_stage="P"),IF(AND(COUNTIFS(RPS[Strand],$B62,RPS[QET],O$11)&gt;0,$D62),TRUE,FALSE),IF(AND(teacher_type="R",career_stage="HP"),IF(AND(COUNTIFS(RHPS[Strand],$B62,RHPS[QET],O$11)&gt;0,$D62),TRUE,FALSE), IF(AND(teacher_type="TB",career_stage="P"),IF(AND(COUNTIFS(TBPS[Strand],$B62,TBPS[QET],O$11)&gt;0,$D62),TRUE,FALSE), IF(AND(teacher_type="TB",career_stage="HP"),IF(AND(COUNTIFS(TBHPS[Strand],$B62,TBHPS[QET],O$11)&gt;0,$D62),TRUE,FALSE),FALSE))))</f>
        <v>0</v>
      </c>
      <c r="P62" s="710"/>
      <c r="Q62" s="662"/>
      <c r="R62" s="663"/>
      <c r="S62" s="664"/>
      <c r="T62" s="678"/>
      <c r="U62" s="94" t="s">
        <v>1187</v>
      </c>
      <c r="V62" s="391" t="str">
        <f ca="1">IFERROR(IF($O62,IF(AND(career_stage="P",teacher_type="R"),INDEX(INDIRECT("RPS["&amp;V$10&amp;"]"),MATCH($H62,RPS[helper],0),1), IF(AND(career_stage="HP",teacher_type="R"), INDEX(INDIRECT("RHPS["&amp;V$10&amp;"]"),MATCH($H62,RHPS[helper],0),1), IF(AND(career_stage="P",teacher_type="TB"),INDEX(INDIRECT("TBPS["&amp;V$10&amp;"]"),MATCH($H62,TBPS[helper],0),1), IF(AND(career_stage="HP",teacher_type="TB"),INDEX(INDIRECT("TBHPS["&amp;V$10&amp;"]"),MATCH($H62,TBHPS[helper],0),1),"")))),""),"")</f>
        <v/>
      </c>
      <c r="W62" s="391" t="str">
        <f ca="1">IFERROR(IF($O62,IF(AND(career_stage="P",teacher_type="R"),INDEX(INDIRECT("RPS["&amp;W$10&amp;"]"),MATCH($H62,RPS[helper],0),1), IF(AND(career_stage="HP",teacher_type="R"), INDEX(INDIRECT("RHPS["&amp;W$10&amp;"]"),MATCH($H62,RHPS[helper],0),1), IF(AND(career_stage="P",teacher_type="TB"),INDEX(INDIRECT("TBPS["&amp;W$10&amp;"]"),MATCH($H62,TBPS[helper],0),1), IF(AND(career_stage="HP",teacher_type="TB"),INDEX(INDIRECT("TBHPS["&amp;W$10&amp;"]"),MATCH($H62,TBHPS[helper],0),1),"")))),""),"")</f>
        <v/>
      </c>
      <c r="X62" s="391" t="str">
        <f ca="1">IFERROR(IF($O62,IF(AND(career_stage="P",teacher_type="R"),INDEX(INDIRECT("RPS["&amp;X$10&amp;"]"),MATCH($H62,RPS[helper],0),1), IF(AND(career_stage="HP",teacher_type="R"), INDEX(INDIRECT("RHPS["&amp;X$10&amp;"]"),MATCH($H62,RHPS[helper],0),1), IF(AND(career_stage="P",teacher_type="TB"),INDEX(INDIRECT("TBPS["&amp;X$10&amp;"]"),MATCH($H62,TBPS[helper],0),1), IF(AND(career_stage="HP",teacher_type="TB"),INDEX(INDIRECT("TBHPS["&amp;X$10&amp;"]"),MATCH($H62,TBHPS[helper],0),1),"")))),""),"")</f>
        <v/>
      </c>
      <c r="Y62" s="391" t="str">
        <f ca="1">IFERROR(IF($O62,IF(AND(career_stage="P",teacher_type="R"),INDEX(INDIRECT("RPS["&amp;Y$10&amp;"]"),MATCH($H62,RPS[helper],0),1), IF(AND(career_stage="HP",teacher_type="R"), INDEX(INDIRECT("RHPS["&amp;Y$10&amp;"]"),MATCH($H62,RHPS[helper],0),1), IF(AND(career_stage="P",teacher_type="TB"),INDEX(INDIRECT("TBPS["&amp;Y$10&amp;"]"),MATCH($H62,TBPS[helper],0),1), IF(AND(career_stage="HP",teacher_type="TB"),INDEX(INDIRECT("TBHPS["&amp;Y$10&amp;"]"),MATCH($H62,TBHPS[helper],0),1),"")))),""),"")</f>
        <v/>
      </c>
      <c r="Z62" s="391" t="str">
        <f ca="1">IFERROR(IF($O62,IF(AND(career_stage="P",teacher_type="R"),INDEX(INDIRECT("RPS["&amp;Z$10&amp;"]"),MATCH($H62,RPS[helper],0),1), IF(AND(career_stage="HP",teacher_type="R"), INDEX(INDIRECT("RHPS["&amp;Z$10&amp;"]"),MATCH($H62,RHPS[helper],0),1), IF(AND(career_stage="P",teacher_type="TB"),INDEX(INDIRECT("TBPS["&amp;Z$10&amp;"]"),MATCH($H62,TBPS[helper],0),1), IF(AND(career_stage="HP",teacher_type="TB"),INDEX(INDIRECT("TBHPS["&amp;Z$10&amp;"]"),MATCH($H62,TBHPS[helper],0),1),"")))),""),"")</f>
        <v/>
      </c>
      <c r="AA62" s="391" t="str" cm="1">
        <f t="array" ref="AA62">IFERROR(INDEX(V62:Z62,6-AD60),"")</f>
        <v/>
      </c>
      <c r="AB62" s="680"/>
      <c r="AC62" s="680"/>
      <c r="AD62" s="680"/>
      <c r="AE62" s="682"/>
      <c r="AF62" s="661"/>
      <c r="AG62" s="5"/>
    </row>
    <row r="63" spans="1:33" ht="102" x14ac:dyDescent="0.25">
      <c r="A63" s="92">
        <v>18</v>
      </c>
      <c r="B63" s="99" t="str" cm="1">
        <f t="array" ref="B63">IFERROR(IF(AND(teacher_type="R",career_stage="P"),INDEX(RPI[Strand],$A63),IF(AND(teacher_type="R",career_stage="HP"),INDEX(RHPI[Strand],$A63), IF(AND(teacher_type="TB",career_stage="P"),INDEX(TBPI[Strand],$A63), IF(AND(teacher_type="TB",career_stage="HP"),INDEX(TBHPI[Strand],$A63),0)))),0)</f>
        <v>3.5.2</v>
      </c>
      <c r="C63" s="99">
        <f>IFERROR(IF(AND(teacher_type="R",career_stage="P"),VLOOKUP($B63,RPI[[Strand]:[Domain]],COLUMNS(RPI[[Strand]:[Domain]]),FALSE), IF(AND(teacher_type="R",career_stage="HP"),VLOOKUP($B63,RHPI[[Strand]:[Domain]],COLUMNS(RHPI[[Strand]:[Domain]]),FALSE), IF(AND(teacher_type="TB",career_stage="P"),VLOOKUP($B63,TBPI[[Strand]:[Domain]],COLUMNS(TBPI[[Strand]:[Domain]]),FALSE), IF(AND(teacher_type="TB",career_stage="HP"),VLOOKUP($B63,TBHPI[[Strand]:[Domain]],COLUMNS(TBHPI[[Strand]:[Domain]]),FALSE),"")))),"")</f>
        <v>2</v>
      </c>
      <c r="D63" s="99" t="b">
        <f>IFERROR(IF(AND(career_stage="P",teacher_type="R"),VLOOKUP(B63,RPI[],COLUMNS(RPI[[Strand]:[Selected]]),FALSE), IF(AND(career_stage="HP",teacher_type="R"),VLOOKUP(B63,RHPI[],COLUMNS(RHPI[[Strand]:[Selected]]),FALSE), IF(AND(career_stage="P",teacher_type="TB"),VLOOKUP(B63,TBPI[],COLUMNS(TBPI[[Strand]:[Selected]]),FALSE), IF(AND(career_stage="HP",teacher_type="TB"),VLOOKUP(B63,TBHPI[],COLUMNS(TBHPI[[Strand]:[Selected]]),FALSE),FALSE)))),FALSE)</f>
        <v>1</v>
      </c>
      <c r="E63" s="92" t="b">
        <f>COUNTIFS($C$12:$C63,C63,$D$12:$D63,TRUE)=1</f>
        <v>0</v>
      </c>
      <c r="F63" s="92" t="b">
        <f>COUNTIFS($C$12:$C63,$C63,$B$12:$B63,$B63,$D$12:$D63,TRUE)=1</f>
        <v>1</v>
      </c>
      <c r="G63" s="99">
        <f>IF($F63,COUNTIFS($C$12:$C63,C63,$F$12:$F63,TRUE),0)</f>
        <v>4</v>
      </c>
      <c r="H63" s="99" t="str">
        <f t="shared" si="0"/>
        <v>3.5.2-Q-COI</v>
      </c>
      <c r="I63" s="99">
        <f>IF(AND(D63,NOT($A63=$A62)),(COUNTIF($D$11:$D62,TRUE)/3)+1,0)</f>
        <v>8</v>
      </c>
      <c r="J63" s="99" t="s">
        <v>1012</v>
      </c>
      <c r="K63" s="99" t="b">
        <f>IF(AND(teacher_type="R",career_stage="P"),IF(AND(COUNTIFS(RPS[Strand],$B63,RPS[QET],$J63)&gt;0,$D63),TRUE,FALSE), IF(AND(teacher_type="R",career_stage="HP"),IF(AND(COUNTIFS(RHPS[Strand],$B63,RHPS[QET],$J63)&gt;0,$D63),TRUE,FALSE), IF(AND(teacher_type="TB",career_stage="P"),IF(AND(COUNTIFS(TBPS[Strand],$B63,TBPS[QET],$J63)&gt;0,$D63),TRUE,FALSE), IF(AND(teacher_type="TB",career_stage="HP"),IF(AND(COUNTIFS(TBHPS[Strand],$B63,TBHPS[QET],$J63)&gt;0,$D63),TRUE,FALSE),FALSE))))</f>
        <v>1</v>
      </c>
      <c r="L63" s="99" t="str">
        <f>IF($K63,IF(AND(teacher_type="R",career_stage="P"),VLOOKUP($B63,RPI[],COLUMNS(RPI[[Strand]:[user_selected_coi_ncoi]]),FALSE), IF(AND(teacher_type="R",career_stage="HP"),VLOOKUP($B63,RHPI[],COLUMNS(RHPI[[Strand]:[user_selected_coi_ncoi]]),FALSE), IF(AND(teacher_type="TB",career_stage="P"),VLOOKUP($B63,TBPI[],COLUMNS(TBPI[[Strand]:[user_selected_coi_ncoi]]),FALSE), IF(AND(teacher_type="TB",career_stage="HP"),VLOOKUP($B63,TBHPI[],COLUMNS(TBHPI[[Strand]:[user_selected_coi_ncoi]]),FALSE),"")))),"")</f>
        <v>COI</v>
      </c>
      <c r="M63" s="99" t="b">
        <f>IF(AND(teacher_type="R",career_stage="P"),IF(AND(COUNTIFS(RPS[Strand],$B63,RPS[QET],M$11)&gt;0,$D63),TRUE,FALSE),IF(AND(teacher_type="R",career_stage="HP"),IF(AND(COUNTIFS(RHPS[Strand],$B63,RHPS[QET],M$11)&gt;0,$D63),TRUE,FALSE), IF(AND(teacher_type="TB",career_stage="P"),IF(AND(COUNTIFS(TBPS[Strand],$B63,TBPS[QET],M$11)&gt;0,$D63),TRUE,FALSE), IF(AND(teacher_type="TB",career_stage="HP"),IF(AND(COUNTIFS(TBHPS[Strand],$B63,TBHPS[QET],M$11)&gt;0,$D63),TRUE,FALSE),FALSE))))</f>
        <v>1</v>
      </c>
      <c r="N63" s="99" t="b">
        <f>IF(AND(teacher_type="R",career_stage="P"),IF(AND(COUNTIFS(RPS[Strand],$B63,RPS[QET],N$11)&gt;0,$D63),TRUE,FALSE),IF(AND(teacher_type="R",career_stage="HP"),IF(AND(COUNTIFS(RHPS[Strand],$B63,RHPS[QET],N$11)&gt;0,$D63),TRUE,FALSE), IF(AND(teacher_type="TB",career_stage="P"),IF(AND(COUNTIFS(TBPS[Strand],$B63,TBPS[QET],N$11)&gt;0,$D63),TRUE,FALSE), IF(AND(teacher_type="TB",career_stage="HP"),IF(AND(COUNTIFS(TBHPS[Strand],$B63,TBHPS[QET],N$11)&gt;0,$D63),TRUE,FALSE),FALSE))))</f>
        <v>1</v>
      </c>
      <c r="O63" s="99" t="b">
        <f>IF(AND(teacher_type="R",career_stage="P"),IF(AND(COUNTIFS(RPS[Strand],$B63,RPS[QET],O$11)&gt;0,$D63),TRUE,FALSE),IF(AND(teacher_type="R",career_stage="HP"),IF(AND(COUNTIFS(RHPS[Strand],$B63,RHPS[QET],O$11)&gt;0,$D63),TRUE,FALSE), IF(AND(teacher_type="TB",career_stage="P"),IF(AND(COUNTIFS(TBPS[Strand],$B63,TBPS[QET],O$11)&gt;0,$D63),TRUE,FALSE), IF(AND(teacher_type="TB",career_stage="HP"),IF(AND(COUNTIFS(TBHPS[Strand],$B63,TBHPS[QET],O$11)&gt;0,$D63),TRUE,FALSE),FALSE))))</f>
        <v>0</v>
      </c>
      <c r="P63" s="710"/>
      <c r="Q63" s="662" t="str">
        <f>IFERROR(IF(E63,IF(C63="Plus Factor","Plus Factor",C63 &amp; ". " &amp; INDEX(Domains[Domain],MATCH(C63,Domains[Domain_code],0),1)),""),"")</f>
        <v/>
      </c>
      <c r="R63" s="663" t="str">
        <f>IFERROR(IF($F63,$I63 &amp; ". " &amp; IF(AND(career_stage="P",teacher_type="R"), INDEX(RPI[PPST Indicators],MATCH($B63,RPI[Strand],0),1), IF(AND(career_stage="HP",teacher_type="R"),INDEX(RHPI[PPST Indicators],MATCH($B63,RHPI[Strand],0),1), IF(AND(career_stage="P",teacher_type="TB"),INDEX(TBPI[PPST Indicators],MATCH($B63,TBPI[Strand],0),1), IF(AND(career_stage="HP",teacher_type="TB"),INDEX(TBHPI[PPST Indicators],MATCH($B63,TBHPI[Strand],0),1),"")))) &amp; IF(NOT(TRIM(LOWER($C63))="plus factor")," (PPST "&amp;B63&amp;")",""),""),"")</f>
        <v>8. Adapted and used culturally appropriate teaching strategies to address the needs of learners from indigenous groups (PPST 3.5.2)</v>
      </c>
      <c r="S63" s="664" t="str" cm="1">
        <f t="array" ref="S63">demographics[rating_period]</f>
        <v>SY 2023-2024</v>
      </c>
      <c r="T63" s="678">
        <f>IFERROR(IF(AND(career_stage="P",teacher_type="R"),VLOOKUP(B63,RPI[],COLUMNS(RPI[[Strand]:[Weight]]),FALSE), IF(AND(career_stage="HP",teacher_type="R"),VLOOKUP(B63,RHPI[],COLUMNS(RHPI[[Strand]:[Weight]]),FALSE), IF(AND(career_stage="P",teacher_type="TB"),VLOOKUP(B63,TBPI[],COLUMNS(TBPI[[Strand]:[Weight]]),FALSE), IF(AND(career_stage="HP",teacher_type="TB"),VLOOKUP(B63,TBHPI[],COLUMNS(TBHPI[[Strand]:[Weight]]),FALSE),0)))),0)</f>
        <v>7.0000000000000007E-2</v>
      </c>
      <c r="U63" s="94" t="s">
        <v>1185</v>
      </c>
      <c r="V63" s="391" t="str">
        <f ca="1">IFERROR(IF($M63,IF(AND(career_stage="P",teacher_type="R"),INDEX(INDIRECT("RPS["&amp;V$10&amp;"]"),MATCH($H63,RPS[helper],0),1), IF(AND(career_stage="HP",teacher_type="R"), INDEX(INDIRECT("RHPS["&amp;V$10&amp;"]"),MATCH($H63,RHPS[helper],0),1), IF(AND(career_stage="P",teacher_type="TB"),INDEX(INDIRECT("TBPS["&amp;V$10&amp;"]"),MATCH($H63,TBPS[helper],0),1), IF(AND(career_stage="HP",teacher_type="TB"),INDEX(INDIRECT("TBHPS["&amp;V$10&amp;"]"),MATCH($H63,TBHPS[helper],0),1),"")))),""),"")</f>
        <v>Demonstrated Level 7 as shown in COT rating sheets/inter- observer agreement forms or in the lesson plan and annotation provided</v>
      </c>
      <c r="W63" s="391" t="str">
        <f ca="1">IFERROR(IF($M63,IF(AND(career_stage="P",teacher_type="R"),INDEX(INDIRECT("RPS["&amp;W$10&amp;"]"),MATCH($H63,RPS[helper],0),1), IF(AND(career_stage="HP",teacher_type="R"), INDEX(INDIRECT("RHPS["&amp;W$10&amp;"]"),MATCH($H63,RHPS[helper],0),1), IF(AND(career_stage="P",teacher_type="TB"),INDEX(INDIRECT("TBPS["&amp;W$10&amp;"]"),MATCH($H63,TBPS[helper],0),1), IF(AND(career_stage="HP",teacher_type="TB"),INDEX(INDIRECT("TBHPS["&amp;W$10&amp;"]"),MATCH($H63,TBHPS[helper],0),1),"")))),""),"")</f>
        <v>Demonstrated Level 6 as shown in COT rating sheets/inter- observer agreement forms or in the lesson plan and annotation provided</v>
      </c>
      <c r="X63" s="391" t="str">
        <f ca="1">IFERROR(IF($M63,IF(AND(career_stage="P",teacher_type="R"),INDEX(INDIRECT("RPS["&amp;X$10&amp;"]"),MATCH($H63,RPS[helper],0),1), IF(AND(career_stage="HP",teacher_type="R"), INDEX(INDIRECT("RHPS["&amp;X$10&amp;"]"),MATCH($H63,RHPS[helper],0),1), IF(AND(career_stage="P",teacher_type="TB"),INDEX(INDIRECT("TBPS["&amp;X$10&amp;"]"),MATCH($H63,TBPS[helper],0),1), IF(AND(career_stage="HP",teacher_type="TB"),INDEX(INDIRECT("TBHPS["&amp;X$10&amp;"]"),MATCH($H63,TBHPS[helper],0),1),"")))),""),"")</f>
        <v>Demonstrated Level 5 as shown in COT rating sheets/inter- observer agreement forms or in the lesson plan and annotation provided</v>
      </c>
      <c r="Y63" s="391" t="str">
        <f ca="1">IFERROR(IF($M63,IF(AND(career_stage="P",teacher_type="R"),INDEX(INDIRECT("RPS["&amp;Y$10&amp;"]"),MATCH($H63,RPS[helper],0),1), IF(AND(career_stage="HP",teacher_type="R"), INDEX(INDIRECT("RHPS["&amp;Y$10&amp;"]"),MATCH($H63,RHPS[helper],0),1), IF(AND(career_stage="P",teacher_type="TB"),INDEX(INDIRECT("TBPS["&amp;Y$10&amp;"]"),MATCH($H63,TBPS[helper],0),1), IF(AND(career_stage="HP",teacher_type="TB"),INDEX(INDIRECT("TBHPS["&amp;Y$10&amp;"]"),MATCH($H63,TBHPS[helper],0),1),"")))),""),"")</f>
        <v>Demonstrated Level 4 as shown in COT rating sheets/inter- observer agreement forms or in the lesson plan and annotation provided</v>
      </c>
      <c r="Z63" s="391" t="str">
        <f ca="1">IFERROR(IF($M63,IF(AND(career_stage="P",teacher_type="R"),INDEX(INDIRECT("RPS["&amp;Z$10&amp;"]"),MATCH($H63,RPS[helper],0),1), IF(AND(career_stage="HP",teacher_type="R"), INDEX(INDIRECT("RHPS["&amp;Z$10&amp;"]"),MATCH($H63,RHPS[helper],0),1), IF(AND(career_stage="P",teacher_type="TB"),INDEX(INDIRECT("TBPS["&amp;Z$10&amp;"]"),MATCH($H63,TBPS[helper],0),1), IF(AND(career_stage="HP",teacher_type="TB"),INDEX(INDIRECT("TBHPS["&amp;Z$10&amp;"]"),MATCH($H63,TBHPS[helper],0),1),"")))),""),"")</f>
        <v>Demonstrated Level 3 as shown in COT rating sheets/inter- observer agreement forms or No acceptable evidence was shown or in the lesson plan and annotation provided</v>
      </c>
      <c r="AA63" s="392" t="str" cm="1">
        <f t="array" aca="1" ref="AA63" ca="1">IFERROR(INDEX(V63:Z63,6-AB63),"")</f>
        <v>Demonstrated Level 7 as shown in COT rating sheets/inter- observer agreement forms or in the lesson plan and annotation provided</v>
      </c>
      <c r="AB63" s="680">
        <f>IF('Encoding Part 1'!AB39="","",'Encoding Part 1'!AB39)</f>
        <v>5</v>
      </c>
      <c r="AC63" s="680">
        <f>IF('Encoding Part 1'!AC39="","",'Encoding Part 1'!AC39)</f>
        <v>5</v>
      </c>
      <c r="AD63" s="680" t="str">
        <f>IF('Encoding Part 1'!AD39="","",'Encoding Part 1'!AD39)</f>
        <v/>
      </c>
      <c r="AE63" s="682">
        <f t="shared" ref="AE63" si="33">IFERROR(ROUNDDOWN(AVERAGE($AB63:$AD63),3),0)</f>
        <v>5</v>
      </c>
      <c r="AF63" s="661">
        <f t="shared" ref="AF63" si="34">ROUNDDOWN($AE63*$T63,3)</f>
        <v>0.35</v>
      </c>
      <c r="AG63" s="5"/>
    </row>
    <row r="64" spans="1:33" ht="38.25" x14ac:dyDescent="0.25">
      <c r="A64" s="92">
        <v>18</v>
      </c>
      <c r="B64" s="99" t="str" cm="1">
        <f t="array" ref="B64">IFERROR(IF(AND(teacher_type="R",career_stage="P"),INDEX(RPI[Strand],$A64),IF(AND(teacher_type="R",career_stage="HP"),INDEX(RHPI[Strand],$A64), IF(AND(teacher_type="TB",career_stage="P"),INDEX(TBPI[Strand],$A64), IF(AND(teacher_type="TB",career_stage="HP"),INDEX(TBHPI[Strand],$A64),0)))),0)</f>
        <v>3.5.2</v>
      </c>
      <c r="C64" s="99">
        <f>IFERROR(IF(AND(teacher_type="R",career_stage="P"),VLOOKUP($B64,RPI[[Strand]:[Domain]],COLUMNS(RPI[[Strand]:[Domain]]),FALSE), IF(AND(teacher_type="R",career_stage="HP"),VLOOKUP($B64,RHPI[[Strand]:[Domain]],COLUMNS(RHPI[[Strand]:[Domain]]),FALSE), IF(AND(teacher_type="TB",career_stage="P"),VLOOKUP($B64,TBPI[[Strand]:[Domain]],COLUMNS(TBPI[[Strand]:[Domain]]),FALSE), IF(AND(teacher_type="TB",career_stage="HP"),VLOOKUP($B64,TBHPI[[Strand]:[Domain]],COLUMNS(TBHPI[[Strand]:[Domain]]),FALSE),"")))),"")</f>
        <v>2</v>
      </c>
      <c r="D64" s="99" t="b">
        <f>IFERROR(IF(AND(career_stage="P",teacher_type="R"),VLOOKUP(B64,RPI[],COLUMNS(RPI[[Strand]:[Selected]]),FALSE), IF(AND(career_stage="HP",teacher_type="R"),VLOOKUP(B64,RHPI[],COLUMNS(RHPI[[Strand]:[Selected]]),FALSE), IF(AND(career_stage="P",teacher_type="TB"),VLOOKUP(B64,TBPI[],COLUMNS(TBPI[[Strand]:[Selected]]),FALSE), IF(AND(career_stage="HP",teacher_type="TB"),VLOOKUP(B64,TBHPI[],COLUMNS(TBHPI[[Strand]:[Selected]]),FALSE),FALSE)))),FALSE)</f>
        <v>1</v>
      </c>
      <c r="E64" s="92" t="b">
        <f>COUNTIFS($C$12:$C64,C64,$D$12:$D64,TRUE)=1</f>
        <v>0</v>
      </c>
      <c r="F64" s="92" t="b">
        <f>COUNTIFS($C$12:$C64,$C64,$B$12:$B64,$B64,$D$12:$D64,TRUE)=1</f>
        <v>0</v>
      </c>
      <c r="G64" s="99">
        <f>IF($F64,COUNTIFS($C$12:$C64,C64,$F$12:$F64,TRUE),0)</f>
        <v>0</v>
      </c>
      <c r="H64" s="99" t="str">
        <f t="shared" si="0"/>
        <v>3.5.2-E-COI</v>
      </c>
      <c r="I64" s="99">
        <f>IF(AND(D64,NOT($A64=$A63)),(COUNTIF($D$11:$D63,TRUE)/3)+1,0)</f>
        <v>0</v>
      </c>
      <c r="J64" s="99" t="s">
        <v>1073</v>
      </c>
      <c r="K64" s="99" t="b">
        <f>IF(AND(teacher_type="R",career_stage="P"),IF(AND(COUNTIFS(RPS[Strand],$B64,RPS[QET],$J64)&gt;0,$D64),TRUE,FALSE), IF(AND(teacher_type="R",career_stage="HP"),IF(AND(COUNTIFS(RHPS[Strand],$B64,RHPS[QET],$J64)&gt;0,$D64),TRUE,FALSE), IF(AND(teacher_type="TB",career_stage="P"),IF(AND(COUNTIFS(TBPS[Strand],$B64,TBPS[QET],$J64)&gt;0,$D64),TRUE,FALSE), IF(AND(teacher_type="TB",career_stage="HP"),IF(AND(COUNTIFS(TBHPS[Strand],$B64,TBHPS[QET],$J64)&gt;0,$D64),TRUE,FALSE),FALSE))))</f>
        <v>1</v>
      </c>
      <c r="L64" s="99" t="str">
        <f>IF($K64,IF(AND(teacher_type="R",career_stage="P"),VLOOKUP($B64,RPI[],COLUMNS(RPI[[Strand]:[user_selected_coi_ncoi]]),FALSE), IF(AND(teacher_type="R",career_stage="HP"),VLOOKUP($B64,RHPI[],COLUMNS(RHPI[[Strand]:[user_selected_coi_ncoi]]),FALSE), IF(AND(teacher_type="TB",career_stage="P"),VLOOKUP($B64,TBPI[],COLUMNS(TBPI[[Strand]:[user_selected_coi_ncoi]]),FALSE), IF(AND(teacher_type="TB",career_stage="HP"),VLOOKUP($B64,TBHPI[],COLUMNS(TBHPI[[Strand]:[user_selected_coi_ncoi]]),FALSE),"")))),"")</f>
        <v>COI</v>
      </c>
      <c r="M64" s="99" t="b">
        <f>IF(AND(teacher_type="R",career_stage="P"),IF(AND(COUNTIFS(RPS[Strand],$B64,RPS[QET],M$11)&gt;0,$D64),TRUE,FALSE),IF(AND(teacher_type="R",career_stage="HP"),IF(AND(COUNTIFS(RHPS[Strand],$B64,RHPS[QET],M$11)&gt;0,$D64),TRUE,FALSE), IF(AND(teacher_type="TB",career_stage="P"),IF(AND(COUNTIFS(TBPS[Strand],$B64,TBPS[QET],M$11)&gt;0,$D64),TRUE,FALSE), IF(AND(teacher_type="TB",career_stage="HP"),IF(AND(COUNTIFS(TBHPS[Strand],$B64,TBHPS[QET],M$11)&gt;0,$D64),TRUE,FALSE),FALSE))))</f>
        <v>1</v>
      </c>
      <c r="N64" s="99" t="b">
        <f>IF(AND(teacher_type="R",career_stage="P"),IF(AND(COUNTIFS(RPS[Strand],$B64,RPS[QET],N$11)&gt;0,$D64),TRUE,FALSE),IF(AND(teacher_type="R",career_stage="HP"),IF(AND(COUNTIFS(RHPS[Strand],$B64,RHPS[QET],N$11)&gt;0,$D64),TRUE,FALSE), IF(AND(teacher_type="TB",career_stage="P"),IF(AND(COUNTIFS(TBPS[Strand],$B64,TBPS[QET],N$11)&gt;0,$D64),TRUE,FALSE), IF(AND(teacher_type="TB",career_stage="HP"),IF(AND(COUNTIFS(TBHPS[Strand],$B64,TBHPS[QET],N$11)&gt;0,$D64),TRUE,FALSE),FALSE))))</f>
        <v>1</v>
      </c>
      <c r="O64" s="99" t="b">
        <f>IF(AND(teacher_type="R",career_stage="P"),IF(AND(COUNTIFS(RPS[Strand],$B64,RPS[QET],O$11)&gt;0,$D64),TRUE,FALSE),IF(AND(teacher_type="R",career_stage="HP"),IF(AND(COUNTIFS(RHPS[Strand],$B64,RHPS[QET],O$11)&gt;0,$D64),TRUE,FALSE), IF(AND(teacher_type="TB",career_stage="P"),IF(AND(COUNTIFS(TBPS[Strand],$B64,TBPS[QET],O$11)&gt;0,$D64),TRUE,FALSE), IF(AND(teacher_type="TB",career_stage="HP"),IF(AND(COUNTIFS(TBHPS[Strand],$B64,TBHPS[QET],O$11)&gt;0,$D64),TRUE,FALSE),FALSE))))</f>
        <v>0</v>
      </c>
      <c r="P64" s="710"/>
      <c r="Q64" s="662"/>
      <c r="R64" s="663"/>
      <c r="S64" s="664"/>
      <c r="T64" s="678"/>
      <c r="U64" s="94" t="s">
        <v>1186</v>
      </c>
      <c r="V64" s="391" t="str">
        <f ca="1">IFERROR(IF($N64,IF(AND(career_stage="P",teacher_type="R"),INDEX(INDIRECT("RPS["&amp;V$10&amp;"]"),MATCH($H64,RPS[helper],0),1), IF(AND(career_stage="HP",teacher_type="R"), INDEX(INDIRECT("RHPS["&amp;V$10&amp;"]"),MATCH($H64,RHPS[helper],0),1), IF(AND(career_stage="P",teacher_type="TB"),INDEX(INDIRECT("TBPS["&amp;V$10&amp;"]"),MATCH($H64,TBPS[helper],0),1), IF(AND(career_stage="HP",teacher_type="TB"),INDEX(INDIRECT("TBHPS["&amp;V$10&amp;"]"),MATCH($H64,TBHPS[helper],0),1),"")))),""),"")</f>
        <v>Objective was met within the allotted time</v>
      </c>
      <c r="W64" s="391">
        <f ca="1">IFERROR(IF($N64,IF(AND(career_stage="P",teacher_type="R"),INDEX(INDIRECT("RPS["&amp;W$10&amp;"]"),MATCH($H64,RPS[helper],0),1), IF(AND(career_stage="HP",teacher_type="R"), INDEX(INDIRECT("RHPS["&amp;W$10&amp;"]"),MATCH($H64,RHPS[helper],0),1), IF(AND(career_stage="P",teacher_type="TB"),INDEX(INDIRECT("TBPS["&amp;W$10&amp;"]"),MATCH($H64,TBPS[helper],0),1), IF(AND(career_stage="HP",teacher_type="TB"),INDEX(INDIRECT("TBHPS["&amp;W$10&amp;"]"),MATCH($H64,TBHPS[helper],0),1),"")))),""),"")</f>
        <v>0</v>
      </c>
      <c r="X64" s="391" t="str">
        <f ca="1">IFERROR(IF($N64,IF(AND(career_stage="P",teacher_type="R"),INDEX(INDIRECT("RPS["&amp;X$10&amp;"]"),MATCH($H64,RPS[helper],0),1), IF(AND(career_stage="HP",teacher_type="R"), INDEX(INDIRECT("RHPS["&amp;X$10&amp;"]"),MATCH($H64,RHPS[helper],0),1), IF(AND(career_stage="P",teacher_type="TB"),INDEX(INDIRECT("TBPS["&amp;X$10&amp;"]"),MATCH($H64,TBPS[helper],0),1), IF(AND(career_stage="HP",teacher_type="TB"),INDEX(INDIRECT("TBHPS["&amp;X$10&amp;"]"),MATCH($H64,TBHPS[helper],0),1),"")))),""),"")</f>
        <v>Objective was met but instruction exceeded the allotted time</v>
      </c>
      <c r="Y64" s="391">
        <f ca="1">IFERROR(IF($N64,IF(AND(career_stage="P",teacher_type="R"),INDEX(INDIRECT("RPS["&amp;Y$10&amp;"]"),MATCH($H64,RPS[helper],0),1), IF(AND(career_stage="HP",teacher_type="R"), INDEX(INDIRECT("RHPS["&amp;Y$10&amp;"]"),MATCH($H64,RHPS[helper],0),1), IF(AND(career_stage="P",teacher_type="TB"),INDEX(INDIRECT("TBPS["&amp;Y$10&amp;"]"),MATCH($H64,TBPS[helper],0),1), IF(AND(career_stage="HP",teacher_type="TB"),INDEX(INDIRECT("TBHPS["&amp;Y$10&amp;"]"),MATCH($H64,TBHPS[helper],0),1),"")))),""),"")</f>
        <v>0</v>
      </c>
      <c r="Z64" s="391" t="str">
        <f ca="1">IFERROR(IF($N64,IF(AND(career_stage="P",teacher_type="R"),INDEX(INDIRECT("RPS["&amp;Z$10&amp;"]"),MATCH($H64,RPS[helper],0),1), IF(AND(career_stage="HP",teacher_type="R"), INDEX(INDIRECT("RHPS["&amp;Z$10&amp;"]"),MATCH($H64,RHPS[helper],0),1), IF(AND(career_stage="P",teacher_type="TB"),INDEX(INDIRECT("TBPS["&amp;Z$10&amp;"]"),MATCH($H64,TBPS[helper],0),1), IF(AND(career_stage="HP",teacher_type="TB"),INDEX(INDIRECT("TBHPS["&amp;Z$10&amp;"]"),MATCH($H64,TBHPS[helper],0),1),"")))),""),"")</f>
        <v>No acceptable evidence was shown</v>
      </c>
      <c r="AA64" s="392" t="str" cm="1">
        <f t="array" aca="1" ref="AA64" ca="1">IFERROR(INDEX(V64:Z64,6-AC63),"")</f>
        <v>Objective was met within the allotted time</v>
      </c>
      <c r="AB64" s="680"/>
      <c r="AC64" s="680"/>
      <c r="AD64" s="680"/>
      <c r="AE64" s="682"/>
      <c r="AF64" s="661"/>
      <c r="AG64" s="5"/>
    </row>
    <row r="65" spans="1:33" hidden="1" x14ac:dyDescent="0.25">
      <c r="A65" s="92">
        <v>18</v>
      </c>
      <c r="B65" s="99" t="str" cm="1">
        <f t="array" ref="B65">IFERROR(IF(AND(teacher_type="R",career_stage="P"),INDEX(RPI[Strand],$A65),IF(AND(teacher_type="R",career_stage="HP"),INDEX(RHPI[Strand],$A65), IF(AND(teacher_type="TB",career_stage="P"),INDEX(TBPI[Strand],$A65), IF(AND(teacher_type="TB",career_stage="HP"),INDEX(TBHPI[Strand],$A65),0)))),0)</f>
        <v>3.5.2</v>
      </c>
      <c r="C65" s="99">
        <f>IFERROR(IF(AND(teacher_type="R",career_stage="P"),VLOOKUP($B65,RPI[[Strand]:[Domain]],COLUMNS(RPI[[Strand]:[Domain]]),FALSE), IF(AND(teacher_type="R",career_stage="HP"),VLOOKUP($B65,RHPI[[Strand]:[Domain]],COLUMNS(RHPI[[Strand]:[Domain]]),FALSE), IF(AND(teacher_type="TB",career_stage="P"),VLOOKUP($B65,TBPI[[Strand]:[Domain]],COLUMNS(TBPI[[Strand]:[Domain]]),FALSE), IF(AND(teacher_type="TB",career_stage="HP"),VLOOKUP($B65,TBHPI[[Strand]:[Domain]],COLUMNS(TBHPI[[Strand]:[Domain]]),FALSE),"")))),"")</f>
        <v>2</v>
      </c>
      <c r="D65" s="99" t="b">
        <f>IFERROR(IF(AND(career_stage="P",teacher_type="R"),VLOOKUP(B65,RPI[],COLUMNS(RPI[[Strand]:[Selected]]),FALSE), IF(AND(career_stage="HP",teacher_type="R"),VLOOKUP(B65,RHPI[],COLUMNS(RHPI[[Strand]:[Selected]]),FALSE), IF(AND(career_stage="P",teacher_type="TB"),VLOOKUP(B65,TBPI[],COLUMNS(TBPI[[Strand]:[Selected]]),FALSE), IF(AND(career_stage="HP",teacher_type="TB"),VLOOKUP(B65,TBHPI[],COLUMNS(TBHPI[[Strand]:[Selected]]),FALSE),FALSE)))),FALSE)</f>
        <v>1</v>
      </c>
      <c r="E65" s="92" t="b">
        <f>COUNTIFS($C$12:$C65,C65,$D$12:$D65,TRUE)=1</f>
        <v>0</v>
      </c>
      <c r="F65" s="92" t="b">
        <f>COUNTIFS($C$12:$C65,$C65,$B$12:$B65,$B65,$D$12:$D65,TRUE)=1</f>
        <v>0</v>
      </c>
      <c r="G65" s="99">
        <f>IF($F65,COUNTIFS($C$12:$C65,C65,$F$12:$F65,TRUE),0)</f>
        <v>0</v>
      </c>
      <c r="H65" s="99" t="str">
        <f t="shared" si="0"/>
        <v>3.5.2-T</v>
      </c>
      <c r="I65" s="99">
        <f>IF(AND(D65,NOT($A65=$A64)),(COUNTIF($D$11:$D64,TRUE)/3)+1,0)</f>
        <v>0</v>
      </c>
      <c r="J65" s="99" t="s">
        <v>1014</v>
      </c>
      <c r="K65" s="99" t="b">
        <f>IF(AND(teacher_type="R",career_stage="P"),IF(AND(COUNTIFS(RPS[Strand],$B65,RPS[QET],$J65)&gt;0,$D65),TRUE,FALSE), IF(AND(teacher_type="R",career_stage="HP"),IF(AND(COUNTIFS(RHPS[Strand],$B65,RHPS[QET],$J65)&gt;0,$D65),TRUE,FALSE), IF(AND(teacher_type="TB",career_stage="P"),IF(AND(COUNTIFS(TBPS[Strand],$B65,TBPS[QET],$J65)&gt;0,$D65),TRUE,FALSE), IF(AND(teacher_type="TB",career_stage="HP"),IF(AND(COUNTIFS(TBHPS[Strand],$B65,TBHPS[QET],$J65)&gt;0,$D65),TRUE,FALSE),FALSE))))</f>
        <v>0</v>
      </c>
      <c r="L65" s="99" t="str">
        <f>IF($K65,IF(AND(teacher_type="R",career_stage="P"),VLOOKUP($B65,RPI[],COLUMNS(RPI[[Strand]:[user_selected_coi_ncoi]]),FALSE), IF(AND(teacher_type="R",career_stage="HP"),VLOOKUP($B65,RHPI[],COLUMNS(RHPI[[Strand]:[user_selected_coi_ncoi]]),FALSE), IF(AND(teacher_type="TB",career_stage="P"),VLOOKUP($B65,TBPI[],COLUMNS(TBPI[[Strand]:[user_selected_coi_ncoi]]),FALSE), IF(AND(teacher_type="TB",career_stage="HP"),VLOOKUP($B65,TBHPI[],COLUMNS(TBHPI[[Strand]:[user_selected_coi_ncoi]]),FALSE),"")))),"")</f>
        <v/>
      </c>
      <c r="M65" s="99" t="b">
        <f>IF(AND(teacher_type="R",career_stage="P"),IF(AND(COUNTIFS(RPS[Strand],$B65,RPS[QET],M$11)&gt;0,$D65),TRUE,FALSE),IF(AND(teacher_type="R",career_stage="HP"),IF(AND(COUNTIFS(RHPS[Strand],$B65,RHPS[QET],M$11)&gt;0,$D65),TRUE,FALSE), IF(AND(teacher_type="TB",career_stage="P"),IF(AND(COUNTIFS(TBPS[Strand],$B65,TBPS[QET],M$11)&gt;0,$D65),TRUE,FALSE), IF(AND(teacher_type="TB",career_stage="HP"),IF(AND(COUNTIFS(TBHPS[Strand],$B65,TBHPS[QET],M$11)&gt;0,$D65),TRUE,FALSE),FALSE))))</f>
        <v>1</v>
      </c>
      <c r="N65" s="99" t="b">
        <f>IF(AND(teacher_type="R",career_stage="P"),IF(AND(COUNTIFS(RPS[Strand],$B65,RPS[QET],N$11)&gt;0,$D65),TRUE,FALSE),IF(AND(teacher_type="R",career_stage="HP"),IF(AND(COUNTIFS(RHPS[Strand],$B65,RHPS[QET],N$11)&gt;0,$D65),TRUE,FALSE), IF(AND(teacher_type="TB",career_stage="P"),IF(AND(COUNTIFS(TBPS[Strand],$B65,TBPS[QET],N$11)&gt;0,$D65),TRUE,FALSE), IF(AND(teacher_type="TB",career_stage="HP"),IF(AND(COUNTIFS(TBHPS[Strand],$B65,TBHPS[QET],N$11)&gt;0,$D65),TRUE,FALSE),FALSE))))</f>
        <v>1</v>
      </c>
      <c r="O65" s="99" t="b">
        <f>IF(AND(teacher_type="R",career_stage="P"),IF(AND(COUNTIFS(RPS[Strand],$B65,RPS[QET],O$11)&gt;0,$D65),TRUE,FALSE),IF(AND(teacher_type="R",career_stage="HP"),IF(AND(COUNTIFS(RHPS[Strand],$B65,RHPS[QET],O$11)&gt;0,$D65),TRUE,FALSE), IF(AND(teacher_type="TB",career_stage="P"),IF(AND(COUNTIFS(TBPS[Strand],$B65,TBPS[QET],O$11)&gt;0,$D65),TRUE,FALSE), IF(AND(teacher_type="TB",career_stage="HP"),IF(AND(COUNTIFS(TBHPS[Strand],$B65,TBHPS[QET],O$11)&gt;0,$D65),TRUE,FALSE),FALSE))))</f>
        <v>0</v>
      </c>
      <c r="P65" s="710"/>
      <c r="Q65" s="662"/>
      <c r="R65" s="663"/>
      <c r="S65" s="664"/>
      <c r="T65" s="678"/>
      <c r="U65" s="94" t="s">
        <v>1187</v>
      </c>
      <c r="V65" s="391" t="str">
        <f ca="1">IFERROR(IF($O65,IF(AND(career_stage="P",teacher_type="R"),INDEX(INDIRECT("RPS["&amp;V$10&amp;"]"),MATCH($H65,RPS[helper],0),1), IF(AND(career_stage="HP",teacher_type="R"), INDEX(INDIRECT("RHPS["&amp;V$10&amp;"]"),MATCH($H65,RHPS[helper],0),1), IF(AND(career_stage="P",teacher_type="TB"),INDEX(INDIRECT("TBPS["&amp;V$10&amp;"]"),MATCH($H65,TBPS[helper],0),1), IF(AND(career_stage="HP",teacher_type="TB"),INDEX(INDIRECT("TBHPS["&amp;V$10&amp;"]"),MATCH($H65,TBHPS[helper],0),1),"")))),""),"")</f>
        <v/>
      </c>
      <c r="W65" s="391" t="str">
        <f ca="1">IFERROR(IF($O65,IF(AND(career_stage="P",teacher_type="R"),INDEX(INDIRECT("RPS["&amp;W$10&amp;"]"),MATCH($H65,RPS[helper],0),1), IF(AND(career_stage="HP",teacher_type="R"), INDEX(INDIRECT("RHPS["&amp;W$10&amp;"]"),MATCH($H65,RHPS[helper],0),1), IF(AND(career_stage="P",teacher_type="TB"),INDEX(INDIRECT("TBPS["&amp;W$10&amp;"]"),MATCH($H65,TBPS[helper],0),1), IF(AND(career_stage="HP",teacher_type="TB"),INDEX(INDIRECT("TBHPS["&amp;W$10&amp;"]"),MATCH($H65,TBHPS[helper],0),1),"")))),""),"")</f>
        <v/>
      </c>
      <c r="X65" s="391" t="str">
        <f ca="1">IFERROR(IF($O65,IF(AND(career_stage="P",teacher_type="R"),INDEX(INDIRECT("RPS["&amp;X$10&amp;"]"),MATCH($H65,RPS[helper],0),1), IF(AND(career_stage="HP",teacher_type="R"), INDEX(INDIRECT("RHPS["&amp;X$10&amp;"]"),MATCH($H65,RHPS[helper],0),1), IF(AND(career_stage="P",teacher_type="TB"),INDEX(INDIRECT("TBPS["&amp;X$10&amp;"]"),MATCH($H65,TBPS[helper],0),1), IF(AND(career_stage="HP",teacher_type="TB"),INDEX(INDIRECT("TBHPS["&amp;X$10&amp;"]"),MATCH($H65,TBHPS[helper],0),1),"")))),""),"")</f>
        <v/>
      </c>
      <c r="Y65" s="391" t="str">
        <f ca="1">IFERROR(IF($O65,IF(AND(career_stage="P",teacher_type="R"),INDEX(INDIRECT("RPS["&amp;Y$10&amp;"]"),MATCH($H65,RPS[helper],0),1), IF(AND(career_stage="HP",teacher_type="R"), INDEX(INDIRECT("RHPS["&amp;Y$10&amp;"]"),MATCH($H65,RHPS[helper],0),1), IF(AND(career_stage="P",teacher_type="TB"),INDEX(INDIRECT("TBPS["&amp;Y$10&amp;"]"),MATCH($H65,TBPS[helper],0),1), IF(AND(career_stage="HP",teacher_type="TB"),INDEX(INDIRECT("TBHPS["&amp;Y$10&amp;"]"),MATCH($H65,TBHPS[helper],0),1),"")))),""),"")</f>
        <v/>
      </c>
      <c r="Z65" s="391" t="str">
        <f ca="1">IFERROR(IF($O65,IF(AND(career_stage="P",teacher_type="R"),INDEX(INDIRECT("RPS["&amp;Z$10&amp;"]"),MATCH($H65,RPS[helper],0),1), IF(AND(career_stage="HP",teacher_type="R"), INDEX(INDIRECT("RHPS["&amp;Z$10&amp;"]"),MATCH($H65,RHPS[helper],0),1), IF(AND(career_stage="P",teacher_type="TB"),INDEX(INDIRECT("TBPS["&amp;Z$10&amp;"]"),MATCH($H65,TBPS[helper],0),1), IF(AND(career_stage="HP",teacher_type="TB"),INDEX(INDIRECT("TBHPS["&amp;Z$10&amp;"]"),MATCH($H65,TBHPS[helper],0),1),"")))),""),"")</f>
        <v/>
      </c>
      <c r="AA65" s="391" t="str" cm="1">
        <f t="array" ref="AA65">IFERROR(INDEX(V65:Z65,6-AD63),"")</f>
        <v/>
      </c>
      <c r="AB65" s="680"/>
      <c r="AC65" s="680"/>
      <c r="AD65" s="680"/>
      <c r="AE65" s="682"/>
      <c r="AF65" s="661"/>
      <c r="AG65" s="5"/>
    </row>
    <row r="66" spans="1:33" hidden="1" x14ac:dyDescent="0.25">
      <c r="A66" s="92">
        <v>19</v>
      </c>
      <c r="B66" s="99" t="str" cm="1">
        <f t="array" ref="B66">IFERROR(IF(AND(teacher_type="R",career_stage="P"),INDEX(RPI[Strand],$A66),IF(AND(teacher_type="R",career_stage="HP"),INDEX(RHPI[Strand],$A66), IF(AND(teacher_type="TB",career_stage="P"),INDEX(TBPI[Strand],$A66), IF(AND(teacher_type="TB",career_stage="HP"),INDEX(TBHPI[Strand],$A66),0)))),0)</f>
        <v>4.1.2</v>
      </c>
      <c r="C66" s="99">
        <f>IFERROR(IF(AND(teacher_type="R",career_stage="P"),VLOOKUP($B66,RPI[[Strand]:[Domain]],COLUMNS(RPI[[Strand]:[Domain]]),FALSE), IF(AND(teacher_type="R",career_stage="HP"),VLOOKUP($B66,RHPI[[Strand]:[Domain]],COLUMNS(RHPI[[Strand]:[Domain]]),FALSE), IF(AND(teacher_type="TB",career_stage="P"),VLOOKUP($B66,TBPI[[Strand]:[Domain]],COLUMNS(TBPI[[Strand]:[Domain]]),FALSE), IF(AND(teacher_type="TB",career_stage="HP"),VLOOKUP($B66,TBHPI[[Strand]:[Domain]],COLUMNS(TBHPI[[Strand]:[Domain]]),FALSE),"")))),"")</f>
        <v>3</v>
      </c>
      <c r="D66" s="99" t="b">
        <f>IFERROR(IF(AND(career_stage="P",teacher_type="R"),VLOOKUP(B66,RPI[],COLUMNS(RPI[[Strand]:[Selected]]),FALSE), IF(AND(career_stage="HP",teacher_type="R"),VLOOKUP(B66,RHPI[],COLUMNS(RHPI[[Strand]:[Selected]]),FALSE), IF(AND(career_stage="P",teacher_type="TB"),VLOOKUP(B66,TBPI[],COLUMNS(TBPI[[Strand]:[Selected]]),FALSE), IF(AND(career_stage="HP",teacher_type="TB"),VLOOKUP(B66,TBHPI[],COLUMNS(TBHPI[[Strand]:[Selected]]),FALSE),FALSE)))),FALSE)</f>
        <v>0</v>
      </c>
      <c r="E66" s="92" t="b">
        <f>COUNTIFS($C$12:$C66,C66,$D$12:$D66,TRUE)=1</f>
        <v>0</v>
      </c>
      <c r="F66" s="92" t="b">
        <f>COUNTIFS($C$12:$C66,$C66,$B$12:$B66,$B66,$D$12:$D66,TRUE)=1</f>
        <v>0</v>
      </c>
      <c r="G66" s="99">
        <f>IF($F66,COUNTIFS($C$12:$C66,C66,$F$12:$F66,TRUE),0)</f>
        <v>0</v>
      </c>
      <c r="H66" s="99" t="str">
        <f t="shared" si="0"/>
        <v>4.1.2-Q</v>
      </c>
      <c r="I66" s="99">
        <f>IF(AND(D66,NOT($A66=$A65)),(COUNTIF($D$11:$D65,TRUE)/3)+1,0)</f>
        <v>0</v>
      </c>
      <c r="J66" s="99" t="s">
        <v>1012</v>
      </c>
      <c r="K66" s="99" t="b">
        <f>IF(AND(teacher_type="R",career_stage="P"),IF(AND(COUNTIFS(RPS[Strand],$B66,RPS[QET],$J66)&gt;0,$D66),TRUE,FALSE), IF(AND(teacher_type="R",career_stage="HP"),IF(AND(COUNTIFS(RHPS[Strand],$B66,RHPS[QET],$J66)&gt;0,$D66),TRUE,FALSE), IF(AND(teacher_type="TB",career_stage="P"),IF(AND(COUNTIFS(TBPS[Strand],$B66,TBPS[QET],$J66)&gt;0,$D66),TRUE,FALSE), IF(AND(teacher_type="TB",career_stage="HP"),IF(AND(COUNTIFS(TBHPS[Strand],$B66,TBHPS[QET],$J66)&gt;0,$D66),TRUE,FALSE),FALSE))))</f>
        <v>0</v>
      </c>
      <c r="L66" s="99" t="str">
        <f>IF($K66,IF(AND(teacher_type="R",career_stage="P"),VLOOKUP($B66,RPI[],COLUMNS(RPI[[Strand]:[user_selected_coi_ncoi]]),FALSE), IF(AND(teacher_type="R",career_stage="HP"),VLOOKUP($B66,RHPI[],COLUMNS(RHPI[[Strand]:[user_selected_coi_ncoi]]),FALSE), IF(AND(teacher_type="TB",career_stage="P"),VLOOKUP($B66,TBPI[],COLUMNS(TBPI[[Strand]:[user_selected_coi_ncoi]]),FALSE), IF(AND(teacher_type="TB",career_stage="HP"),VLOOKUP($B66,TBHPI[],COLUMNS(TBHPI[[Strand]:[user_selected_coi_ncoi]]),FALSE),"")))),"")</f>
        <v/>
      </c>
      <c r="M66" s="99" t="b">
        <f>IF(AND(teacher_type="R",career_stage="P"),IF(AND(COUNTIFS(RPS[Strand],$B66,RPS[QET],M$11)&gt;0,$D66),TRUE,FALSE),IF(AND(teacher_type="R",career_stage="HP"),IF(AND(COUNTIFS(RHPS[Strand],$B66,RHPS[QET],M$11)&gt;0,$D66),TRUE,FALSE), IF(AND(teacher_type="TB",career_stage="P"),IF(AND(COUNTIFS(TBPS[Strand],$B66,TBPS[QET],M$11)&gt;0,$D66),TRUE,FALSE), IF(AND(teacher_type="TB",career_stage="HP"),IF(AND(COUNTIFS(TBHPS[Strand],$B66,TBHPS[QET],M$11)&gt;0,$D66),TRUE,FALSE),FALSE))))</f>
        <v>0</v>
      </c>
      <c r="N66" s="99" t="b">
        <f>IF(AND(teacher_type="R",career_stage="P"),IF(AND(COUNTIFS(RPS[Strand],$B66,RPS[QET],N$11)&gt;0,$D66),TRUE,FALSE),IF(AND(teacher_type="R",career_stage="HP"),IF(AND(COUNTIFS(RHPS[Strand],$B66,RHPS[QET],N$11)&gt;0,$D66),TRUE,FALSE), IF(AND(teacher_type="TB",career_stage="P"),IF(AND(COUNTIFS(TBPS[Strand],$B66,TBPS[QET],N$11)&gt;0,$D66),TRUE,FALSE), IF(AND(teacher_type="TB",career_stage="HP"),IF(AND(COUNTIFS(TBHPS[Strand],$B66,TBHPS[QET],N$11)&gt;0,$D66),TRUE,FALSE),FALSE))))</f>
        <v>0</v>
      </c>
      <c r="O66" s="99" t="b">
        <f>IF(AND(teacher_type="R",career_stage="P"),IF(AND(COUNTIFS(RPS[Strand],$B66,RPS[QET],O$11)&gt;0,$D66),TRUE,FALSE),IF(AND(teacher_type="R",career_stage="HP"),IF(AND(COUNTIFS(RHPS[Strand],$B66,RHPS[QET],O$11)&gt;0,$D66),TRUE,FALSE), IF(AND(teacher_type="TB",career_stage="P"),IF(AND(COUNTIFS(TBPS[Strand],$B66,TBPS[QET],O$11)&gt;0,$D66),TRUE,FALSE), IF(AND(teacher_type="TB",career_stage="HP"),IF(AND(COUNTIFS(TBHPS[Strand],$B66,TBHPS[QET],O$11)&gt;0,$D66),TRUE,FALSE),FALSE))))</f>
        <v>0</v>
      </c>
      <c r="P66" s="710"/>
      <c r="Q66" s="662" t="str">
        <f>IFERROR(IF(E66,IF(C66="Plus Factor","Plus Factor",C66 &amp; ". " &amp; INDEX(Domains[Domain],MATCH(C66,Domains[Domain_code],0),1)),""),"")</f>
        <v/>
      </c>
      <c r="R66" s="663" t="str">
        <f>IFERROR(IF($F66,$I66 &amp; ". " &amp; IF(AND(career_stage="P",teacher_type="R"), INDEX(RPI[PPST Indicators],MATCH($B66,RPI[Strand],0),1), IF(AND(career_stage="HP",teacher_type="R"),INDEX(RHPI[PPST Indicators],MATCH($B66,RHPI[Strand],0),1), IF(AND(career_stage="P",teacher_type="TB"),INDEX(TBPI[PPST Indicators],MATCH($B66,TBPI[Strand],0),1), IF(AND(career_stage="HP",teacher_type="TB"),INDEX(TBHPI[PPST Indicators],MATCH($B66,TBHPI[Strand],0),1),"")))) &amp; IF(NOT(TRIM(LOWER($C66))="plus factor")," (PPST "&amp;B66&amp;")",""),""),"")</f>
        <v/>
      </c>
      <c r="S66" s="664" t="str" cm="1">
        <f t="array" ref="S66">demographics[rating_period]</f>
        <v>SY 2023-2024</v>
      </c>
      <c r="T66" s="678">
        <f>IFERROR(IF(AND(career_stage="P",teacher_type="R"),VLOOKUP(B66,RPI[],COLUMNS(RPI[[Strand]:[Weight]]),FALSE), IF(AND(career_stage="HP",teacher_type="R"),VLOOKUP(B66,RHPI[],COLUMNS(RHPI[[Strand]:[Weight]]),FALSE), IF(AND(career_stage="P",teacher_type="TB"),VLOOKUP(B66,TBPI[],COLUMNS(TBPI[[Strand]:[Weight]]),FALSE), IF(AND(career_stage="HP",teacher_type="TB"),VLOOKUP(B66,TBHPI[],COLUMNS(TBHPI[[Strand]:[Weight]]),FALSE),0)))),0)</f>
        <v>0</v>
      </c>
      <c r="U66" s="94" t="s">
        <v>1185</v>
      </c>
      <c r="V66" s="391" t="str">
        <f ca="1">IFERROR(IF($M66,IF(AND(career_stage="P",teacher_type="R"),INDEX(INDIRECT("RPS["&amp;V$10&amp;"]"),MATCH($H66,RPS[helper],0),1), IF(AND(career_stage="HP",teacher_type="R"), INDEX(INDIRECT("RHPS["&amp;V$10&amp;"]"),MATCH($H66,RHPS[helper],0),1), IF(AND(career_stage="P",teacher_type="TB"),INDEX(INDIRECT("TBPS["&amp;V$10&amp;"]"),MATCH($H66,TBPS[helper],0),1), IF(AND(career_stage="HP",teacher_type="TB"),INDEX(INDIRECT("TBHPS["&amp;V$10&amp;"]"),MATCH($H66,TBHPS[helper],0),1),"")))),""),"")</f>
        <v/>
      </c>
      <c r="W66" s="391" t="str">
        <f ca="1">IFERROR(IF($M66,IF(AND(career_stage="P",teacher_type="R"),INDEX(INDIRECT("RPS["&amp;W$10&amp;"]"),MATCH($H66,RPS[helper],0),1), IF(AND(career_stage="HP",teacher_type="R"), INDEX(INDIRECT("RHPS["&amp;W$10&amp;"]"),MATCH($H66,RHPS[helper],0),1), IF(AND(career_stage="P",teacher_type="TB"),INDEX(INDIRECT("TBPS["&amp;W$10&amp;"]"),MATCH($H66,TBPS[helper],0),1), IF(AND(career_stage="HP",teacher_type="TB"),INDEX(INDIRECT("TBHPS["&amp;W$10&amp;"]"),MATCH($H66,TBHPS[helper],0),1),"")))),""),"")</f>
        <v/>
      </c>
      <c r="X66" s="391" t="str">
        <f ca="1">IFERROR(IF($M66,IF(AND(career_stage="P",teacher_type="R"),INDEX(INDIRECT("RPS["&amp;X$10&amp;"]"),MATCH($H66,RPS[helper],0),1), IF(AND(career_stage="HP",teacher_type="R"), INDEX(INDIRECT("RHPS["&amp;X$10&amp;"]"),MATCH($H66,RHPS[helper],0),1), IF(AND(career_stage="P",teacher_type="TB"),INDEX(INDIRECT("TBPS["&amp;X$10&amp;"]"),MATCH($H66,TBPS[helper],0),1), IF(AND(career_stage="HP",teacher_type="TB"),INDEX(INDIRECT("TBHPS["&amp;X$10&amp;"]"),MATCH($H66,TBHPS[helper],0),1),"")))),""),"")</f>
        <v/>
      </c>
      <c r="Y66" s="391" t="str">
        <f ca="1">IFERROR(IF($M66,IF(AND(career_stage="P",teacher_type="R"),INDEX(INDIRECT("RPS["&amp;Y$10&amp;"]"),MATCH($H66,RPS[helper],0),1), IF(AND(career_stage="HP",teacher_type="R"), INDEX(INDIRECT("RHPS["&amp;Y$10&amp;"]"),MATCH($H66,RHPS[helper],0),1), IF(AND(career_stage="P",teacher_type="TB"),INDEX(INDIRECT("TBPS["&amp;Y$10&amp;"]"),MATCH($H66,TBPS[helper],0),1), IF(AND(career_stage="HP",teacher_type="TB"),INDEX(INDIRECT("TBHPS["&amp;Y$10&amp;"]"),MATCH($H66,TBHPS[helper],0),1),"")))),""),"")</f>
        <v/>
      </c>
      <c r="Z66" s="391" t="str">
        <f ca="1">IFERROR(IF($M66,IF(AND(career_stage="P",teacher_type="R"),INDEX(INDIRECT("RPS["&amp;Z$10&amp;"]"),MATCH($H66,RPS[helper],0),1), IF(AND(career_stage="HP",teacher_type="R"), INDEX(INDIRECT("RHPS["&amp;Z$10&amp;"]"),MATCH($H66,RHPS[helper],0),1), IF(AND(career_stage="P",teacher_type="TB"),INDEX(INDIRECT("TBPS["&amp;Z$10&amp;"]"),MATCH($H66,TBPS[helper],0),1), IF(AND(career_stage="HP",teacher_type="TB"),INDEX(INDIRECT("TBHPS["&amp;Z$10&amp;"]"),MATCH($H66,TBHPS[helper],0),1),"")))),""),"")</f>
        <v/>
      </c>
      <c r="AA66" s="392" t="str" cm="1">
        <f t="array" ref="AA66">IFERROR(INDEX(V66:Z66,6-AB66),"")</f>
        <v/>
      </c>
      <c r="AB66" s="680" t="str">
        <f>IF('Encoding Part 1'!AB40="","",'Encoding Part 1'!AB40)</f>
        <v/>
      </c>
      <c r="AC66" s="680" t="str">
        <f>IF('Encoding Part 1'!AC40="","",'Encoding Part 1'!AC40)</f>
        <v/>
      </c>
      <c r="AD66" s="680" t="str">
        <f>IF('Encoding Part 1'!AD40="","",'Encoding Part 1'!AD40)</f>
        <v/>
      </c>
      <c r="AE66" s="682">
        <f t="shared" ref="AE66" si="35">IFERROR(ROUNDDOWN(AVERAGE($AB66:$AD66),3),0)</f>
        <v>0</v>
      </c>
      <c r="AF66" s="661">
        <f t="shared" ref="AF66" si="36">ROUNDDOWN($AE66*$T66,3)</f>
        <v>0</v>
      </c>
      <c r="AG66" s="5"/>
    </row>
    <row r="67" spans="1:33" hidden="1" x14ac:dyDescent="0.25">
      <c r="A67" s="92">
        <v>19</v>
      </c>
      <c r="B67" s="99" t="str" cm="1">
        <f t="array" ref="B67">IFERROR(IF(AND(teacher_type="R",career_stage="P"),INDEX(RPI[Strand],$A67),IF(AND(teacher_type="R",career_stage="HP"),INDEX(RHPI[Strand],$A67), IF(AND(teacher_type="TB",career_stage="P"),INDEX(TBPI[Strand],$A67), IF(AND(teacher_type="TB",career_stage="HP"),INDEX(TBHPI[Strand],$A67),0)))),0)</f>
        <v>4.1.2</v>
      </c>
      <c r="C67" s="99">
        <f>IFERROR(IF(AND(teacher_type="R",career_stage="P"),VLOOKUP($B67,RPI[[Strand]:[Domain]],COLUMNS(RPI[[Strand]:[Domain]]),FALSE), IF(AND(teacher_type="R",career_stage="HP"),VLOOKUP($B67,RHPI[[Strand]:[Domain]],COLUMNS(RHPI[[Strand]:[Domain]]),FALSE), IF(AND(teacher_type="TB",career_stage="P"),VLOOKUP($B67,TBPI[[Strand]:[Domain]],COLUMNS(TBPI[[Strand]:[Domain]]),FALSE), IF(AND(teacher_type="TB",career_stage="HP"),VLOOKUP($B67,TBHPI[[Strand]:[Domain]],COLUMNS(TBHPI[[Strand]:[Domain]]),FALSE),"")))),"")</f>
        <v>3</v>
      </c>
      <c r="D67" s="99" t="b">
        <f>IFERROR(IF(AND(career_stage="P",teacher_type="R"),VLOOKUP(B67,RPI[],COLUMNS(RPI[[Strand]:[Selected]]),FALSE), IF(AND(career_stage="HP",teacher_type="R"),VLOOKUP(B67,RHPI[],COLUMNS(RHPI[[Strand]:[Selected]]),FALSE), IF(AND(career_stage="P",teacher_type="TB"),VLOOKUP(B67,TBPI[],COLUMNS(TBPI[[Strand]:[Selected]]),FALSE), IF(AND(career_stage="HP",teacher_type="TB"),VLOOKUP(B67,TBHPI[],COLUMNS(TBHPI[[Strand]:[Selected]]),FALSE),FALSE)))),FALSE)</f>
        <v>0</v>
      </c>
      <c r="E67" s="92" t="b">
        <f>COUNTIFS($C$12:$C67,C67,$D$12:$D67,TRUE)=1</f>
        <v>0</v>
      </c>
      <c r="F67" s="92" t="b">
        <f>COUNTIFS($C$12:$C67,$C67,$B$12:$B67,$B67,$D$12:$D67,TRUE)=1</f>
        <v>0</v>
      </c>
      <c r="G67" s="99">
        <f>IF($F67,COUNTIFS($C$12:$C67,C67,$F$12:$F67,TRUE),0)</f>
        <v>0</v>
      </c>
      <c r="H67" s="99" t="str">
        <f t="shared" si="0"/>
        <v>4.1.2-E</v>
      </c>
      <c r="I67" s="99">
        <f>IF(AND(D67,NOT($A67=$A66)),(COUNTIF($D$11:$D66,TRUE)/3)+1,0)</f>
        <v>0</v>
      </c>
      <c r="J67" s="99" t="s">
        <v>1073</v>
      </c>
      <c r="K67" s="99" t="b">
        <f>IF(AND(teacher_type="R",career_stage="P"),IF(AND(COUNTIFS(RPS[Strand],$B67,RPS[QET],$J67)&gt;0,$D67),TRUE,FALSE), IF(AND(teacher_type="R",career_stage="HP"),IF(AND(COUNTIFS(RHPS[Strand],$B67,RHPS[QET],$J67)&gt;0,$D67),TRUE,FALSE), IF(AND(teacher_type="TB",career_stage="P"),IF(AND(COUNTIFS(TBPS[Strand],$B67,TBPS[QET],$J67)&gt;0,$D67),TRUE,FALSE), IF(AND(teacher_type="TB",career_stage="HP"),IF(AND(COUNTIFS(TBHPS[Strand],$B67,TBHPS[QET],$J67)&gt;0,$D67),TRUE,FALSE),FALSE))))</f>
        <v>0</v>
      </c>
      <c r="L67" s="99" t="str">
        <f>IF($K67,IF(AND(teacher_type="R",career_stage="P"),VLOOKUP($B67,RPI[],COLUMNS(RPI[[Strand]:[user_selected_coi_ncoi]]),FALSE), IF(AND(teacher_type="R",career_stage="HP"),VLOOKUP($B67,RHPI[],COLUMNS(RHPI[[Strand]:[user_selected_coi_ncoi]]),FALSE), IF(AND(teacher_type="TB",career_stage="P"),VLOOKUP($B67,TBPI[],COLUMNS(TBPI[[Strand]:[user_selected_coi_ncoi]]),FALSE), IF(AND(teacher_type="TB",career_stage="HP"),VLOOKUP($B67,TBHPI[],COLUMNS(TBHPI[[Strand]:[user_selected_coi_ncoi]]),FALSE),"")))),"")</f>
        <v/>
      </c>
      <c r="M67" s="99" t="b">
        <f>IF(AND(teacher_type="R",career_stage="P"),IF(AND(COUNTIFS(RPS[Strand],$B67,RPS[QET],M$11)&gt;0,$D67),TRUE,FALSE),IF(AND(teacher_type="R",career_stage="HP"),IF(AND(COUNTIFS(RHPS[Strand],$B67,RHPS[QET],M$11)&gt;0,$D67),TRUE,FALSE), IF(AND(teacher_type="TB",career_stage="P"),IF(AND(COUNTIFS(TBPS[Strand],$B67,TBPS[QET],M$11)&gt;0,$D67),TRUE,FALSE), IF(AND(teacher_type="TB",career_stage="HP"),IF(AND(COUNTIFS(TBHPS[Strand],$B67,TBHPS[QET],M$11)&gt;0,$D67),TRUE,FALSE),FALSE))))</f>
        <v>0</v>
      </c>
      <c r="N67" s="99" t="b">
        <f>IF(AND(teacher_type="R",career_stage="P"),IF(AND(COUNTIFS(RPS[Strand],$B67,RPS[QET],N$11)&gt;0,$D67),TRUE,FALSE),IF(AND(teacher_type="R",career_stage="HP"),IF(AND(COUNTIFS(RHPS[Strand],$B67,RHPS[QET],N$11)&gt;0,$D67),TRUE,FALSE), IF(AND(teacher_type="TB",career_stage="P"),IF(AND(COUNTIFS(TBPS[Strand],$B67,TBPS[QET],N$11)&gt;0,$D67),TRUE,FALSE), IF(AND(teacher_type="TB",career_stage="HP"),IF(AND(COUNTIFS(TBHPS[Strand],$B67,TBHPS[QET],N$11)&gt;0,$D67),TRUE,FALSE),FALSE))))</f>
        <v>0</v>
      </c>
      <c r="O67" s="99" t="b">
        <f>IF(AND(teacher_type="R",career_stage="P"),IF(AND(COUNTIFS(RPS[Strand],$B67,RPS[QET],O$11)&gt;0,$D67),TRUE,FALSE),IF(AND(teacher_type="R",career_stage="HP"),IF(AND(COUNTIFS(RHPS[Strand],$B67,RHPS[QET],O$11)&gt;0,$D67),TRUE,FALSE), IF(AND(teacher_type="TB",career_stage="P"),IF(AND(COUNTIFS(TBPS[Strand],$B67,TBPS[QET],O$11)&gt;0,$D67),TRUE,FALSE), IF(AND(teacher_type="TB",career_stage="HP"),IF(AND(COUNTIFS(TBHPS[Strand],$B67,TBHPS[QET],O$11)&gt;0,$D67),TRUE,FALSE),FALSE))))</f>
        <v>0</v>
      </c>
      <c r="P67" s="710"/>
      <c r="Q67" s="662"/>
      <c r="R67" s="663"/>
      <c r="S67" s="664"/>
      <c r="T67" s="678"/>
      <c r="U67" s="94" t="s">
        <v>1186</v>
      </c>
      <c r="V67" s="391" t="str">
        <f ca="1">IFERROR(IF($N67,IF(AND(career_stage="P",teacher_type="R"),INDEX(INDIRECT("RPS["&amp;V$10&amp;"]"),MATCH($H67,RPS[helper],0),1), IF(AND(career_stage="HP",teacher_type="R"), INDEX(INDIRECT("RHPS["&amp;V$10&amp;"]"),MATCH($H67,RHPS[helper],0),1), IF(AND(career_stage="P",teacher_type="TB"),INDEX(INDIRECT("TBPS["&amp;V$10&amp;"]"),MATCH($H67,TBPS[helper],0),1), IF(AND(career_stage="HP",teacher_type="TB"),INDEX(INDIRECT("TBHPS["&amp;V$10&amp;"]"),MATCH($H67,TBHPS[helper],0),1),"")))),""),"")</f>
        <v/>
      </c>
      <c r="W67" s="391" t="str">
        <f ca="1">IFERROR(IF($N67,IF(AND(career_stage="P",teacher_type="R"),INDEX(INDIRECT("RPS["&amp;W$10&amp;"]"),MATCH($H67,RPS[helper],0),1), IF(AND(career_stage="HP",teacher_type="R"), INDEX(INDIRECT("RHPS["&amp;W$10&amp;"]"),MATCH($H67,RHPS[helper],0),1), IF(AND(career_stage="P",teacher_type="TB"),INDEX(INDIRECT("TBPS["&amp;W$10&amp;"]"),MATCH($H67,TBPS[helper],0),1), IF(AND(career_stage="HP",teacher_type="TB"),INDEX(INDIRECT("TBHPS["&amp;W$10&amp;"]"),MATCH($H67,TBHPS[helper],0),1),"")))),""),"")</f>
        <v/>
      </c>
      <c r="X67" s="391" t="str">
        <f ca="1">IFERROR(IF($N67,IF(AND(career_stage="P",teacher_type="R"),INDEX(INDIRECT("RPS["&amp;X$10&amp;"]"),MATCH($H67,RPS[helper],0),1), IF(AND(career_stage="HP",teacher_type="R"), INDEX(INDIRECT("RHPS["&amp;X$10&amp;"]"),MATCH($H67,RHPS[helper],0),1), IF(AND(career_stage="P",teacher_type="TB"),INDEX(INDIRECT("TBPS["&amp;X$10&amp;"]"),MATCH($H67,TBPS[helper],0),1), IF(AND(career_stage="HP",teacher_type="TB"),INDEX(INDIRECT("TBHPS["&amp;X$10&amp;"]"),MATCH($H67,TBHPS[helper],0),1),"")))),""),"")</f>
        <v/>
      </c>
      <c r="Y67" s="391" t="str">
        <f ca="1">IFERROR(IF($N67,IF(AND(career_stage="P",teacher_type="R"),INDEX(INDIRECT("RPS["&amp;Y$10&amp;"]"),MATCH($H67,RPS[helper],0),1), IF(AND(career_stage="HP",teacher_type="R"), INDEX(INDIRECT("RHPS["&amp;Y$10&amp;"]"),MATCH($H67,RHPS[helper],0),1), IF(AND(career_stage="P",teacher_type="TB"),INDEX(INDIRECT("TBPS["&amp;Y$10&amp;"]"),MATCH($H67,TBPS[helper],0),1), IF(AND(career_stage="HP",teacher_type="TB"),INDEX(INDIRECT("TBHPS["&amp;Y$10&amp;"]"),MATCH($H67,TBHPS[helper],0),1),"")))),""),"")</f>
        <v/>
      </c>
      <c r="Z67" s="391" t="str">
        <f ca="1">IFERROR(IF($N67,IF(AND(career_stage="P",teacher_type="R"),INDEX(INDIRECT("RPS["&amp;Z$10&amp;"]"),MATCH($H67,RPS[helper],0),1), IF(AND(career_stage="HP",teacher_type="R"), INDEX(INDIRECT("RHPS["&amp;Z$10&amp;"]"),MATCH($H67,RHPS[helper],0),1), IF(AND(career_stage="P",teacher_type="TB"),INDEX(INDIRECT("TBPS["&amp;Z$10&amp;"]"),MATCH($H67,TBPS[helper],0),1), IF(AND(career_stage="HP",teacher_type="TB"),INDEX(INDIRECT("TBHPS["&amp;Z$10&amp;"]"),MATCH($H67,TBHPS[helper],0),1),"")))),""),"")</f>
        <v/>
      </c>
      <c r="AA67" s="392" t="str" cm="1">
        <f t="array" ref="AA67">IFERROR(INDEX(V67:Z67,6-AC66),"")</f>
        <v/>
      </c>
      <c r="AB67" s="680"/>
      <c r="AC67" s="680"/>
      <c r="AD67" s="680"/>
      <c r="AE67" s="682"/>
      <c r="AF67" s="661"/>
      <c r="AG67" s="5"/>
    </row>
    <row r="68" spans="1:33" hidden="1" x14ac:dyDescent="0.25">
      <c r="A68" s="92">
        <v>19</v>
      </c>
      <c r="B68" s="99" t="str" cm="1">
        <f t="array" ref="B68">IFERROR(IF(AND(teacher_type="R",career_stage="P"),INDEX(RPI[Strand],$A68),IF(AND(teacher_type="R",career_stage="HP"),INDEX(RHPI[Strand],$A68), IF(AND(teacher_type="TB",career_stage="P"),INDEX(TBPI[Strand],$A68), IF(AND(teacher_type="TB",career_stage="HP"),INDEX(TBHPI[Strand],$A68),0)))),0)</f>
        <v>4.1.2</v>
      </c>
      <c r="C68" s="99">
        <f>IFERROR(IF(AND(teacher_type="R",career_stage="P"),VLOOKUP($B68,RPI[[Strand]:[Domain]],COLUMNS(RPI[[Strand]:[Domain]]),FALSE), IF(AND(teacher_type="R",career_stage="HP"),VLOOKUP($B68,RHPI[[Strand]:[Domain]],COLUMNS(RHPI[[Strand]:[Domain]]),FALSE), IF(AND(teacher_type="TB",career_stage="P"),VLOOKUP($B68,TBPI[[Strand]:[Domain]],COLUMNS(TBPI[[Strand]:[Domain]]),FALSE), IF(AND(teacher_type="TB",career_stage="HP"),VLOOKUP($B68,TBHPI[[Strand]:[Domain]],COLUMNS(TBHPI[[Strand]:[Domain]]),FALSE),"")))),"")</f>
        <v>3</v>
      </c>
      <c r="D68" s="99" t="b">
        <f>IFERROR(IF(AND(career_stage="P",teacher_type="R"),VLOOKUP(B68,RPI[],COLUMNS(RPI[[Strand]:[Selected]]),FALSE), IF(AND(career_stage="HP",teacher_type="R"),VLOOKUP(B68,RHPI[],COLUMNS(RHPI[[Strand]:[Selected]]),FALSE), IF(AND(career_stage="P",teacher_type="TB"),VLOOKUP(B68,TBPI[],COLUMNS(TBPI[[Strand]:[Selected]]),FALSE), IF(AND(career_stage="HP",teacher_type="TB"),VLOOKUP(B68,TBHPI[],COLUMNS(TBHPI[[Strand]:[Selected]]),FALSE),FALSE)))),FALSE)</f>
        <v>0</v>
      </c>
      <c r="E68" s="92" t="b">
        <f>COUNTIFS($C$12:$C68,C68,$D$12:$D68,TRUE)=1</f>
        <v>0</v>
      </c>
      <c r="F68" s="92" t="b">
        <f>COUNTIFS($C$12:$C68,$C68,$B$12:$B68,$B68,$D$12:$D68,TRUE)=1</f>
        <v>0</v>
      </c>
      <c r="G68" s="99">
        <f>IF($F68,COUNTIFS($C$12:$C68,C68,$F$12:$F68,TRUE),0)</f>
        <v>0</v>
      </c>
      <c r="H68" s="99" t="str">
        <f t="shared" si="0"/>
        <v>4.1.2-T</v>
      </c>
      <c r="I68" s="99">
        <f>IF(AND(D68,NOT($A68=$A67)),(COUNTIF($D$11:$D67,TRUE)/3)+1,0)</f>
        <v>0</v>
      </c>
      <c r="J68" s="99" t="s">
        <v>1014</v>
      </c>
      <c r="K68" s="99" t="b">
        <f>IF(AND(teacher_type="R",career_stage="P"),IF(AND(COUNTIFS(RPS[Strand],$B68,RPS[QET],$J68)&gt;0,$D68),TRUE,FALSE), IF(AND(teacher_type="R",career_stage="HP"),IF(AND(COUNTIFS(RHPS[Strand],$B68,RHPS[QET],$J68)&gt;0,$D68),TRUE,FALSE), IF(AND(teacher_type="TB",career_stage="P"),IF(AND(COUNTIFS(TBPS[Strand],$B68,TBPS[QET],$J68)&gt;0,$D68),TRUE,FALSE), IF(AND(teacher_type="TB",career_stage="HP"),IF(AND(COUNTIFS(TBHPS[Strand],$B68,TBHPS[QET],$J68)&gt;0,$D68),TRUE,FALSE),FALSE))))</f>
        <v>0</v>
      </c>
      <c r="L68" s="99" t="str">
        <f>IF($K68,IF(AND(teacher_type="R",career_stage="P"),VLOOKUP($B68,RPI[],COLUMNS(RPI[[Strand]:[user_selected_coi_ncoi]]),FALSE), IF(AND(teacher_type="R",career_stage="HP"),VLOOKUP($B68,RHPI[],COLUMNS(RHPI[[Strand]:[user_selected_coi_ncoi]]),FALSE), IF(AND(teacher_type="TB",career_stage="P"),VLOOKUP($B68,TBPI[],COLUMNS(TBPI[[Strand]:[user_selected_coi_ncoi]]),FALSE), IF(AND(teacher_type="TB",career_stage="HP"),VLOOKUP($B68,TBHPI[],COLUMNS(TBHPI[[Strand]:[user_selected_coi_ncoi]]),FALSE),"")))),"")</f>
        <v/>
      </c>
      <c r="M68" s="99" t="b">
        <f>IF(AND(teacher_type="R",career_stage="P"),IF(AND(COUNTIFS(RPS[Strand],$B68,RPS[QET],M$11)&gt;0,$D68),TRUE,FALSE),IF(AND(teacher_type="R",career_stage="HP"),IF(AND(COUNTIFS(RHPS[Strand],$B68,RHPS[QET],M$11)&gt;0,$D68),TRUE,FALSE), IF(AND(teacher_type="TB",career_stage="P"),IF(AND(COUNTIFS(TBPS[Strand],$B68,TBPS[QET],M$11)&gt;0,$D68),TRUE,FALSE), IF(AND(teacher_type="TB",career_stage="HP"),IF(AND(COUNTIFS(TBHPS[Strand],$B68,TBHPS[QET],M$11)&gt;0,$D68),TRUE,FALSE),FALSE))))</f>
        <v>0</v>
      </c>
      <c r="N68" s="99" t="b">
        <f>IF(AND(teacher_type="R",career_stage="P"),IF(AND(COUNTIFS(RPS[Strand],$B68,RPS[QET],N$11)&gt;0,$D68),TRUE,FALSE),IF(AND(teacher_type="R",career_stage="HP"),IF(AND(COUNTIFS(RHPS[Strand],$B68,RHPS[QET],N$11)&gt;0,$D68),TRUE,FALSE), IF(AND(teacher_type="TB",career_stage="P"),IF(AND(COUNTIFS(TBPS[Strand],$B68,TBPS[QET],N$11)&gt;0,$D68),TRUE,FALSE), IF(AND(teacher_type="TB",career_stage="HP"),IF(AND(COUNTIFS(TBHPS[Strand],$B68,TBHPS[QET],N$11)&gt;0,$D68),TRUE,FALSE),FALSE))))</f>
        <v>0</v>
      </c>
      <c r="O68" s="99" t="b">
        <f>IF(AND(teacher_type="R",career_stage="P"),IF(AND(COUNTIFS(RPS[Strand],$B68,RPS[QET],O$11)&gt;0,$D68),TRUE,FALSE),IF(AND(teacher_type="R",career_stage="HP"),IF(AND(COUNTIFS(RHPS[Strand],$B68,RHPS[QET],O$11)&gt;0,$D68),TRUE,FALSE), IF(AND(teacher_type="TB",career_stage="P"),IF(AND(COUNTIFS(TBPS[Strand],$B68,TBPS[QET],O$11)&gt;0,$D68),TRUE,FALSE), IF(AND(teacher_type="TB",career_stage="HP"),IF(AND(COUNTIFS(TBHPS[Strand],$B68,TBHPS[QET],O$11)&gt;0,$D68),TRUE,FALSE),FALSE))))</f>
        <v>0</v>
      </c>
      <c r="P68" s="710"/>
      <c r="Q68" s="662"/>
      <c r="R68" s="663"/>
      <c r="S68" s="664"/>
      <c r="T68" s="678"/>
      <c r="U68" s="94" t="s">
        <v>1187</v>
      </c>
      <c r="V68" s="391" t="str">
        <f ca="1">IFERROR(IF($O68,IF(AND(career_stage="P",teacher_type="R"),INDEX(INDIRECT("RPS["&amp;V$10&amp;"]"),MATCH($H68,RPS[helper],0),1), IF(AND(career_stage="HP",teacher_type="R"), INDEX(INDIRECT("RHPS["&amp;V$10&amp;"]"),MATCH($H68,RHPS[helper],0),1), IF(AND(career_stage="P",teacher_type="TB"),INDEX(INDIRECT("TBPS["&amp;V$10&amp;"]"),MATCH($H68,TBPS[helper],0),1), IF(AND(career_stage="HP",teacher_type="TB"),INDEX(INDIRECT("TBHPS["&amp;V$10&amp;"]"),MATCH($H68,TBHPS[helper],0),1),"")))),""),"")</f>
        <v/>
      </c>
      <c r="W68" s="391" t="str">
        <f ca="1">IFERROR(IF($O68,IF(AND(career_stage="P",teacher_type="R"),INDEX(INDIRECT("RPS["&amp;W$10&amp;"]"),MATCH($H68,RPS[helper],0),1), IF(AND(career_stage="HP",teacher_type="R"), INDEX(INDIRECT("RHPS["&amp;W$10&amp;"]"),MATCH($H68,RHPS[helper],0),1), IF(AND(career_stage="P",teacher_type="TB"),INDEX(INDIRECT("TBPS["&amp;W$10&amp;"]"),MATCH($H68,TBPS[helper],0),1), IF(AND(career_stage="HP",teacher_type="TB"),INDEX(INDIRECT("TBHPS["&amp;W$10&amp;"]"),MATCH($H68,TBHPS[helper],0),1),"")))),""),"")</f>
        <v/>
      </c>
      <c r="X68" s="391" t="str">
        <f ca="1">IFERROR(IF($O68,IF(AND(career_stage="P",teacher_type="R"),INDEX(INDIRECT("RPS["&amp;X$10&amp;"]"),MATCH($H68,RPS[helper],0),1), IF(AND(career_stage="HP",teacher_type="R"), INDEX(INDIRECT("RHPS["&amp;X$10&amp;"]"),MATCH($H68,RHPS[helper],0),1), IF(AND(career_stage="P",teacher_type="TB"),INDEX(INDIRECT("TBPS["&amp;X$10&amp;"]"),MATCH($H68,TBPS[helper],0),1), IF(AND(career_stage="HP",teacher_type="TB"),INDEX(INDIRECT("TBHPS["&amp;X$10&amp;"]"),MATCH($H68,TBHPS[helper],0),1),"")))),""),"")</f>
        <v/>
      </c>
      <c r="Y68" s="391" t="str">
        <f ca="1">IFERROR(IF($O68,IF(AND(career_stage="P",teacher_type="R"),INDEX(INDIRECT("RPS["&amp;Y$10&amp;"]"),MATCH($H68,RPS[helper],0),1), IF(AND(career_stage="HP",teacher_type="R"), INDEX(INDIRECT("RHPS["&amp;Y$10&amp;"]"),MATCH($H68,RHPS[helper],0),1), IF(AND(career_stage="P",teacher_type="TB"),INDEX(INDIRECT("TBPS["&amp;Y$10&amp;"]"),MATCH($H68,TBPS[helper],0),1), IF(AND(career_stage="HP",teacher_type="TB"),INDEX(INDIRECT("TBHPS["&amp;Y$10&amp;"]"),MATCH($H68,TBHPS[helper],0),1),"")))),""),"")</f>
        <v/>
      </c>
      <c r="Z68" s="391" t="str">
        <f ca="1">IFERROR(IF($O68,IF(AND(career_stage="P",teacher_type="R"),INDEX(INDIRECT("RPS["&amp;Z$10&amp;"]"),MATCH($H68,RPS[helper],0),1), IF(AND(career_stage="HP",teacher_type="R"), INDEX(INDIRECT("RHPS["&amp;Z$10&amp;"]"),MATCH($H68,RHPS[helper],0),1), IF(AND(career_stage="P",teacher_type="TB"),INDEX(INDIRECT("TBPS["&amp;Z$10&amp;"]"),MATCH($H68,TBPS[helper],0),1), IF(AND(career_stage="HP",teacher_type="TB"),INDEX(INDIRECT("TBHPS["&amp;Z$10&amp;"]"),MATCH($H68,TBHPS[helper],0),1),"")))),""),"")</f>
        <v/>
      </c>
      <c r="AA68" s="391" t="str" cm="1">
        <f t="array" ref="AA68">IFERROR(INDEX(V68:Z68,6-AD66),"")</f>
        <v/>
      </c>
      <c r="AB68" s="680"/>
      <c r="AC68" s="680"/>
      <c r="AD68" s="680"/>
      <c r="AE68" s="682"/>
      <c r="AF68" s="661"/>
      <c r="AG68" s="5"/>
    </row>
    <row r="69" spans="1:33" ht="102" x14ac:dyDescent="0.25">
      <c r="A69" s="92">
        <v>20</v>
      </c>
      <c r="B69" s="99" t="str" cm="1">
        <f t="array" ref="B69">IFERROR(IF(AND(teacher_type="R",career_stage="P"),INDEX(RPI[Strand],$A69),IF(AND(teacher_type="R",career_stage="HP"),INDEX(RHPI[Strand],$A69), IF(AND(teacher_type="TB",career_stage="P"),INDEX(TBPI[Strand],$A69), IF(AND(teacher_type="TB",career_stage="HP"),INDEX(TBHPI[Strand],$A69),0)))),0)</f>
        <v>4.2.2</v>
      </c>
      <c r="C69" s="99">
        <f>IFERROR(IF(AND(teacher_type="R",career_stage="P"),VLOOKUP($B69,RPI[[Strand]:[Domain]],COLUMNS(RPI[[Strand]:[Domain]]),FALSE), IF(AND(teacher_type="R",career_stage="HP"),VLOOKUP($B69,RHPI[[Strand]:[Domain]],COLUMNS(RHPI[[Strand]:[Domain]]),FALSE), IF(AND(teacher_type="TB",career_stage="P"),VLOOKUP($B69,TBPI[[Strand]:[Domain]],COLUMNS(TBPI[[Strand]:[Domain]]),FALSE), IF(AND(teacher_type="TB",career_stage="HP"),VLOOKUP($B69,TBHPI[[Strand]:[Domain]],COLUMNS(TBHPI[[Strand]:[Domain]]),FALSE),"")))),"")</f>
        <v>3</v>
      </c>
      <c r="D69" s="99" t="b">
        <f>IFERROR(IF(AND(career_stage="P",teacher_type="R"),VLOOKUP(B69,RPI[],COLUMNS(RPI[[Strand]:[Selected]]),FALSE), IF(AND(career_stage="HP",teacher_type="R"),VLOOKUP(B69,RHPI[],COLUMNS(RHPI[[Strand]:[Selected]]),FALSE), IF(AND(career_stage="P",teacher_type="TB"),VLOOKUP(B69,TBPI[],COLUMNS(TBPI[[Strand]:[Selected]]),FALSE), IF(AND(career_stage="HP",teacher_type="TB"),VLOOKUP(B69,TBHPI[],COLUMNS(TBHPI[[Strand]:[Selected]]),FALSE),FALSE)))),FALSE)</f>
        <v>1</v>
      </c>
      <c r="E69" s="92" t="b">
        <f>COUNTIFS($C$12:$C69,C69,$D$12:$D69,TRUE)=1</f>
        <v>1</v>
      </c>
      <c r="F69" s="92" t="b">
        <f>COUNTIFS($C$12:$C69,$C69,$B$12:$B69,$B69,$D$12:$D69,TRUE)=1</f>
        <v>1</v>
      </c>
      <c r="G69" s="99">
        <f>IF($F69,COUNTIFS($C$12:$C69,C69,$F$12:$F69,TRUE),0)</f>
        <v>1</v>
      </c>
      <c r="H69" s="99" t="str">
        <f t="shared" si="0"/>
        <v>4.2.2-Q-NCOI</v>
      </c>
      <c r="I69" s="99">
        <f>IF(AND(D69,NOT($A69=$A68)),(COUNTIF($D$11:$D68,TRUE)/3)+1,0)</f>
        <v>9</v>
      </c>
      <c r="J69" s="99" t="s">
        <v>1012</v>
      </c>
      <c r="K69" s="99" t="b">
        <f>IF(AND(teacher_type="R",career_stage="P"),IF(AND(COUNTIFS(RPS[Strand],$B69,RPS[QET],$J69)&gt;0,$D69),TRUE,FALSE), IF(AND(teacher_type="R",career_stage="HP"),IF(AND(COUNTIFS(RHPS[Strand],$B69,RHPS[QET],$J69)&gt;0,$D69),TRUE,FALSE), IF(AND(teacher_type="TB",career_stage="P"),IF(AND(COUNTIFS(TBPS[Strand],$B69,TBPS[QET],$J69)&gt;0,$D69),TRUE,FALSE), IF(AND(teacher_type="TB",career_stage="HP"),IF(AND(COUNTIFS(TBHPS[Strand],$B69,TBHPS[QET],$J69)&gt;0,$D69),TRUE,FALSE),FALSE))))</f>
        <v>1</v>
      </c>
      <c r="L69" s="99" t="str">
        <f>IF($K69,IF(AND(teacher_type="R",career_stage="P"),VLOOKUP($B69,RPI[],COLUMNS(RPI[[Strand]:[user_selected_coi_ncoi]]),FALSE), IF(AND(teacher_type="R",career_stage="HP"),VLOOKUP($B69,RHPI[],COLUMNS(RHPI[[Strand]:[user_selected_coi_ncoi]]),FALSE), IF(AND(teacher_type="TB",career_stage="P"),VLOOKUP($B69,TBPI[],COLUMNS(TBPI[[Strand]:[user_selected_coi_ncoi]]),FALSE), IF(AND(teacher_type="TB",career_stage="HP"),VLOOKUP($B69,TBHPI[],COLUMNS(TBHPI[[Strand]:[user_selected_coi_ncoi]]),FALSE),"")))),"")</f>
        <v>NCOI</v>
      </c>
      <c r="M69" s="99" t="b">
        <f>IF(AND(teacher_type="R",career_stage="P"),IF(AND(COUNTIFS(RPS[Strand],$B69,RPS[QET],M$11)&gt;0,$D69),TRUE,FALSE),IF(AND(teacher_type="R",career_stage="HP"),IF(AND(COUNTIFS(RHPS[Strand],$B69,RHPS[QET],M$11)&gt;0,$D69),TRUE,FALSE), IF(AND(teacher_type="TB",career_stage="P"),IF(AND(COUNTIFS(TBPS[Strand],$B69,TBPS[QET],M$11)&gt;0,$D69),TRUE,FALSE), IF(AND(teacher_type="TB",career_stage="HP"),IF(AND(COUNTIFS(TBHPS[Strand],$B69,TBHPS[QET],M$11)&gt;0,$D69),TRUE,FALSE),FALSE))))</f>
        <v>1</v>
      </c>
      <c r="N69" s="99" t="b">
        <f>IF(AND(teacher_type="R",career_stage="P"),IF(AND(COUNTIFS(RPS[Strand],$B69,RPS[QET],N$11)&gt;0,$D69),TRUE,FALSE),IF(AND(teacher_type="R",career_stage="HP"),IF(AND(COUNTIFS(RHPS[Strand],$B69,RHPS[QET],N$11)&gt;0,$D69),TRUE,FALSE), IF(AND(teacher_type="TB",career_stage="P"),IF(AND(COUNTIFS(TBPS[Strand],$B69,TBPS[QET],N$11)&gt;0,$D69),TRUE,FALSE), IF(AND(teacher_type="TB",career_stage="HP"),IF(AND(COUNTIFS(TBHPS[Strand],$B69,TBHPS[QET],N$11)&gt;0,$D69),TRUE,FALSE),FALSE))))</f>
        <v>1</v>
      </c>
      <c r="O69" s="99" t="b">
        <f>IF(AND(teacher_type="R",career_stage="P"),IF(AND(COUNTIFS(RPS[Strand],$B69,RPS[QET],O$11)&gt;0,$D69),TRUE,FALSE),IF(AND(teacher_type="R",career_stage="HP"),IF(AND(COUNTIFS(RHPS[Strand],$B69,RHPS[QET],O$11)&gt;0,$D69),TRUE,FALSE), IF(AND(teacher_type="TB",career_stage="P"),IF(AND(COUNTIFS(TBPS[Strand],$B69,TBPS[QET],O$11)&gt;0,$D69),TRUE,FALSE), IF(AND(teacher_type="TB",career_stage="HP"),IF(AND(COUNTIFS(TBHPS[Strand],$B69,TBHPS[QET],O$11)&gt;0,$D69),TRUE,FALSE),FALSE))))</f>
        <v>0</v>
      </c>
      <c r="P69" s="710"/>
      <c r="Q69" s="662" t="str">
        <f>IFERROR(IF(E69,IF(C69="Plus Factor","Plus Factor",C69 &amp; ". " &amp; INDEX(Domains[Domain],MATCH(C69,Domains[Domain_code],0),1)),""),"")</f>
        <v>3. Curriculum and Planning &amp; Assessment and Reporting</v>
      </c>
      <c r="R69" s="663" t="str">
        <f>IFERROR(IF($F69,$I69 &amp; ". " &amp; IF(AND(career_stage="P",teacher_type="R"), INDEX(RPI[PPST Indicators],MATCH($B69,RPI[Strand],0),1), IF(AND(career_stage="HP",teacher_type="R"),INDEX(RHPI[PPST Indicators],MATCH($B69,RHPI[Strand],0),1), IF(AND(career_stage="P",teacher_type="TB"),INDEX(TBPI[PPST Indicators],MATCH($B69,TBPI[Strand],0),1), IF(AND(career_stage="HP",teacher_type="TB"),INDEX(TBHPI[PPST Indicators],MATCH($B69,TBHPI[Strand],0),1),"")))) &amp; IF(NOT(TRIM(LOWER($C69))="plus factor")," (PPST "&amp;B69&amp;")",""),""),"")</f>
        <v>9. Set achievable and appropriate learning outcomes that are aligned with learning competencies (PPST 4.2.2)</v>
      </c>
      <c r="S69" s="664" t="str" cm="1">
        <f t="array" ref="S69">demographics[rating_period]</f>
        <v>SY 2023-2024</v>
      </c>
      <c r="T69" s="678">
        <f>IFERROR(IF(AND(career_stage="P",teacher_type="R"),VLOOKUP(B69,RPI[],COLUMNS(RPI[[Strand]:[Weight]]),FALSE), IF(AND(career_stage="HP",teacher_type="R"),VLOOKUP(B69,RHPI[],COLUMNS(RHPI[[Strand]:[Weight]]),FALSE), IF(AND(career_stage="P",teacher_type="TB"),VLOOKUP(B69,TBPI[],COLUMNS(TBPI[[Strand]:[Weight]]),FALSE), IF(AND(career_stage="HP",teacher_type="TB"),VLOOKUP(B69,TBHPI[],COLUMNS(TBHPI[[Strand]:[Weight]]),FALSE),0)))),0)</f>
        <v>7.0000000000000007E-2</v>
      </c>
      <c r="U69" s="94" t="s">
        <v>1185</v>
      </c>
      <c r="V69" s="391" t="str">
        <f ca="1">IFERROR(IF($M69,IF(AND(career_stage="P",teacher_type="R"),INDEX(INDIRECT("RPS["&amp;V$10&amp;"]"),MATCH($H69,RPS[helper],0),1), IF(AND(career_stage="HP",teacher_type="R"), INDEX(INDIRECT("RHPS["&amp;V$10&amp;"]"),MATCH($H69,RHPS[helper],0),1), IF(AND(career_stage="P",teacher_type="TB"),INDEX(INDIRECT("TBPS["&amp;V$10&amp;"]"),MATCH($H69,TBPS[helper],0),1), IF(AND(career_stage="HP",teacher_type="TB"),INDEX(INDIRECT("TBHPS["&amp;V$10&amp;"]"),MATCH($H69,TBHPS[helper],0),1),"")))),""),"")</f>
        <v>Set learning outcomes were achievable and appropriate, and led to the attainment of the next related competency, as shown in the MOV submitted</v>
      </c>
      <c r="W69" s="391" t="str">
        <f ca="1">IFERROR(IF($M69,IF(AND(career_stage="P",teacher_type="R"),INDEX(INDIRECT("RPS["&amp;W$10&amp;"]"),MATCH($H69,RPS[helper],0),1), IF(AND(career_stage="HP",teacher_type="R"), INDEX(INDIRECT("RHPS["&amp;W$10&amp;"]"),MATCH($H69,RHPS[helper],0),1), IF(AND(career_stage="P",teacher_type="TB"),INDEX(INDIRECT("TBPS["&amp;W$10&amp;"]"),MATCH($H69,TBPS[helper],0),1), IF(AND(career_stage="HP",teacher_type="TB"),INDEX(INDIRECT("TBHPS["&amp;W$10&amp;"]"),MATCH($H69,TBHPS[helper],0),1),"")))),""),"")</f>
        <v>Set learning outcomes were achievable and appropriate, and contributed to the understanding of the next related competency, as shown in the MOV submitted</v>
      </c>
      <c r="X69" s="391" t="str">
        <f ca="1">IFERROR(IF($M69,IF(AND(career_stage="P",teacher_type="R"),INDEX(INDIRECT("RPS["&amp;X$10&amp;"]"),MATCH($H69,RPS[helper],0),1), IF(AND(career_stage="HP",teacher_type="R"), INDEX(INDIRECT("RHPS["&amp;X$10&amp;"]"),MATCH($H69,RHPS[helper],0),1), IF(AND(career_stage="P",teacher_type="TB"),INDEX(INDIRECT("TBPS["&amp;X$10&amp;"]"),MATCH($H69,TBPS[helper],0),1), IF(AND(career_stage="HP",teacher_type="TB"),INDEX(INDIRECT("TBHPS["&amp;X$10&amp;"]"),MATCH($H69,TBHPS[helper],0),1),"")))),""),"")</f>
        <v>Set learning outcomes were achievable and appropriate, and were aligned with the learning competencies, as shown in the MOV submitted</v>
      </c>
      <c r="Y69" s="391" t="str">
        <f ca="1">IFERROR(IF($M69,IF(AND(career_stage="P",teacher_type="R"),INDEX(INDIRECT("RPS["&amp;Y$10&amp;"]"),MATCH($H69,RPS[helper],0),1), IF(AND(career_stage="HP",teacher_type="R"), INDEX(INDIRECT("RHPS["&amp;Y$10&amp;"]"),MATCH($H69,RHPS[helper],0),1), IF(AND(career_stage="P",teacher_type="TB"),INDEX(INDIRECT("TBPS["&amp;Y$10&amp;"]"),MATCH($H69,TBPS[helper],0),1), IF(AND(career_stage="HP",teacher_type="TB"),INDEX(INDIRECT("TBHPS["&amp;Y$10&amp;"]"),MATCH($H69,TBHPS[helper],0),1),"")))),""),"")</f>
        <v>Set learning outcomes were not achievable or appropriate, and were partially aligned with the learning competencies, as shown in the MOV submitted</v>
      </c>
      <c r="Z69" s="391" t="str">
        <f ca="1">IFERROR(IF($M69,IF(AND(career_stage="P",teacher_type="R"),INDEX(INDIRECT("RPS["&amp;Z$10&amp;"]"),MATCH($H69,RPS[helper],0),1), IF(AND(career_stage="HP",teacher_type="R"), INDEX(INDIRECT("RHPS["&amp;Z$10&amp;"]"),MATCH($H69,RHPS[helper],0),1), IF(AND(career_stage="P",teacher_type="TB"),INDEX(INDIRECT("TBPS["&amp;Z$10&amp;"]"),MATCH($H69,TBPS[helper],0),1), IF(AND(career_stage="HP",teacher_type="TB"),INDEX(INDIRECT("TBHPS["&amp;Z$10&amp;"]"),MATCH($H69,TBHPS[helper],0),1),"")))),""),"")</f>
        <v>No acceptable evidence was shown</v>
      </c>
      <c r="AA69" s="392" t="str" cm="1">
        <f t="array" aca="1" ref="AA69" ca="1">IFERROR(INDEX(V69:Z69,6-AB69),"")</f>
        <v>Set learning outcomes were achievable and appropriate, and contributed to the understanding of the next related competency, as shown in the MOV submitted</v>
      </c>
      <c r="AB69" s="680">
        <f>IF('Encoding Part 1'!AB41="","",'Encoding Part 1'!AB41)</f>
        <v>4</v>
      </c>
      <c r="AC69" s="680">
        <f>IF('Encoding Part 1'!AC41="","",'Encoding Part 1'!AC41)</f>
        <v>4</v>
      </c>
      <c r="AD69" s="680" t="str">
        <f>IF('Encoding Part 1'!AD41="","",'Encoding Part 1'!AD41)</f>
        <v/>
      </c>
      <c r="AE69" s="682">
        <f t="shared" ref="AE69" si="37">IFERROR(ROUNDDOWN(AVERAGE($AB69:$AD69),3),0)</f>
        <v>4</v>
      </c>
      <c r="AF69" s="661">
        <f t="shared" ref="AF69" si="38">ROUNDDOWN($AE69*$T69,3)</f>
        <v>0.28000000000000003</v>
      </c>
      <c r="AG69" s="5"/>
    </row>
    <row r="70" spans="1:33" ht="76.5" x14ac:dyDescent="0.25">
      <c r="A70" s="92">
        <v>20</v>
      </c>
      <c r="B70" s="99" t="str" cm="1">
        <f t="array" ref="B70">IFERROR(IF(AND(teacher_type="R",career_stage="P"),INDEX(RPI[Strand],$A70),IF(AND(teacher_type="R",career_stage="HP"),INDEX(RHPI[Strand],$A70), IF(AND(teacher_type="TB",career_stage="P"),INDEX(TBPI[Strand],$A70), IF(AND(teacher_type="TB",career_stage="HP"),INDEX(TBHPI[Strand],$A70),0)))),0)</f>
        <v>4.2.2</v>
      </c>
      <c r="C70" s="99">
        <f>IFERROR(IF(AND(teacher_type="R",career_stage="P"),VLOOKUP($B70,RPI[[Strand]:[Domain]],COLUMNS(RPI[[Strand]:[Domain]]),FALSE), IF(AND(teacher_type="R",career_stage="HP"),VLOOKUP($B70,RHPI[[Strand]:[Domain]],COLUMNS(RHPI[[Strand]:[Domain]]),FALSE), IF(AND(teacher_type="TB",career_stage="P"),VLOOKUP($B70,TBPI[[Strand]:[Domain]],COLUMNS(TBPI[[Strand]:[Domain]]),FALSE), IF(AND(teacher_type="TB",career_stage="HP"),VLOOKUP($B70,TBHPI[[Strand]:[Domain]],COLUMNS(TBHPI[[Strand]:[Domain]]),FALSE),"")))),"")</f>
        <v>3</v>
      </c>
      <c r="D70" s="99" t="b">
        <f>IFERROR(IF(AND(career_stage="P",teacher_type="R"),VLOOKUP(B70,RPI[],COLUMNS(RPI[[Strand]:[Selected]]),FALSE), IF(AND(career_stage="HP",teacher_type="R"),VLOOKUP(B70,RHPI[],COLUMNS(RHPI[[Strand]:[Selected]]),FALSE), IF(AND(career_stage="P",teacher_type="TB"),VLOOKUP(B70,TBPI[],COLUMNS(TBPI[[Strand]:[Selected]]),FALSE), IF(AND(career_stage="HP",teacher_type="TB"),VLOOKUP(B70,TBHPI[],COLUMNS(TBHPI[[Strand]:[Selected]]),FALSE),FALSE)))),FALSE)</f>
        <v>1</v>
      </c>
      <c r="E70" s="92" t="b">
        <f>COUNTIFS($C$12:$C70,C70,$D$12:$D70,TRUE)=1</f>
        <v>0</v>
      </c>
      <c r="F70" s="92" t="b">
        <f>COUNTIFS($C$12:$C70,$C70,$B$12:$B70,$B70,$D$12:$D70,TRUE)=1</f>
        <v>0</v>
      </c>
      <c r="G70" s="99">
        <f>IF($F70,COUNTIFS($C$12:$C70,C70,$F$12:$F70,TRUE),0)</f>
        <v>0</v>
      </c>
      <c r="H70" s="99" t="str">
        <f t="shared" si="0"/>
        <v>4.2.2-E-NCOI</v>
      </c>
      <c r="I70" s="99">
        <f>IF(AND(D70,NOT($A70=$A69)),(COUNTIF($D$11:$D69,TRUE)/3)+1,0)</f>
        <v>0</v>
      </c>
      <c r="J70" s="99" t="s">
        <v>1073</v>
      </c>
      <c r="K70" s="99" t="b">
        <f>IF(AND(teacher_type="R",career_stage="P"),IF(AND(COUNTIFS(RPS[Strand],$B70,RPS[QET],$J70)&gt;0,$D70),TRUE,FALSE), IF(AND(teacher_type="R",career_stage="HP"),IF(AND(COUNTIFS(RHPS[Strand],$B70,RHPS[QET],$J70)&gt;0,$D70),TRUE,FALSE), IF(AND(teacher_type="TB",career_stage="P"),IF(AND(COUNTIFS(TBPS[Strand],$B70,TBPS[QET],$J70)&gt;0,$D70),TRUE,FALSE), IF(AND(teacher_type="TB",career_stage="HP"),IF(AND(COUNTIFS(TBHPS[Strand],$B70,TBHPS[QET],$J70)&gt;0,$D70),TRUE,FALSE),FALSE))))</f>
        <v>1</v>
      </c>
      <c r="L70" s="99" t="str">
        <f>IF($K70,IF(AND(teacher_type="R",career_stage="P"),VLOOKUP($B70,RPI[],COLUMNS(RPI[[Strand]:[user_selected_coi_ncoi]]),FALSE), IF(AND(teacher_type="R",career_stage="HP"),VLOOKUP($B70,RHPI[],COLUMNS(RHPI[[Strand]:[user_selected_coi_ncoi]]),FALSE), IF(AND(teacher_type="TB",career_stage="P"),VLOOKUP($B70,TBPI[],COLUMNS(TBPI[[Strand]:[user_selected_coi_ncoi]]),FALSE), IF(AND(teacher_type="TB",career_stage="HP"),VLOOKUP($B70,TBHPI[],COLUMNS(TBHPI[[Strand]:[user_selected_coi_ncoi]]),FALSE),"")))),"")</f>
        <v>NCOI</v>
      </c>
      <c r="M70" s="99" t="b">
        <f>IF(AND(teacher_type="R",career_stage="P"),IF(AND(COUNTIFS(RPS[Strand],$B70,RPS[QET],M$11)&gt;0,$D70),TRUE,FALSE),IF(AND(teacher_type="R",career_stage="HP"),IF(AND(COUNTIFS(RHPS[Strand],$B70,RHPS[QET],M$11)&gt;0,$D70),TRUE,FALSE), IF(AND(teacher_type="TB",career_stage="P"),IF(AND(COUNTIFS(TBPS[Strand],$B70,TBPS[QET],M$11)&gt;0,$D70),TRUE,FALSE), IF(AND(teacher_type="TB",career_stage="HP"),IF(AND(COUNTIFS(TBHPS[Strand],$B70,TBHPS[QET],M$11)&gt;0,$D70),TRUE,FALSE),FALSE))))</f>
        <v>1</v>
      </c>
      <c r="N70" s="99" t="b">
        <f>IF(AND(teacher_type="R",career_stage="P"),IF(AND(COUNTIFS(RPS[Strand],$B70,RPS[QET],N$11)&gt;0,$D70),TRUE,FALSE),IF(AND(teacher_type="R",career_stage="HP"),IF(AND(COUNTIFS(RHPS[Strand],$B70,RHPS[QET],N$11)&gt;0,$D70),TRUE,FALSE), IF(AND(teacher_type="TB",career_stage="P"),IF(AND(COUNTIFS(TBPS[Strand],$B70,TBPS[QET],N$11)&gt;0,$D70),TRUE,FALSE), IF(AND(teacher_type="TB",career_stage="HP"),IF(AND(COUNTIFS(TBHPS[Strand],$B70,TBHPS[QET],N$11)&gt;0,$D70),TRUE,FALSE),FALSE))))</f>
        <v>1</v>
      </c>
      <c r="O70" s="99" t="b">
        <f>IF(AND(teacher_type="R",career_stage="P"),IF(AND(COUNTIFS(RPS[Strand],$B70,RPS[QET],O$11)&gt;0,$D70),TRUE,FALSE),IF(AND(teacher_type="R",career_stage="HP"),IF(AND(COUNTIFS(RHPS[Strand],$B70,RHPS[QET],O$11)&gt;0,$D70),TRUE,FALSE), IF(AND(teacher_type="TB",career_stage="P"),IF(AND(COUNTIFS(TBPS[Strand],$B70,TBPS[QET],O$11)&gt;0,$D70),TRUE,FALSE), IF(AND(teacher_type="TB",career_stage="HP"),IF(AND(COUNTIFS(TBHPS[Strand],$B70,TBHPS[QET],O$11)&gt;0,$D70),TRUE,FALSE),FALSE))))</f>
        <v>0</v>
      </c>
      <c r="P70" s="710"/>
      <c r="Q70" s="662"/>
      <c r="R70" s="663"/>
      <c r="S70" s="664"/>
      <c r="T70" s="678"/>
      <c r="U70" s="94" t="s">
        <v>1186</v>
      </c>
      <c r="V70" s="391" t="str">
        <f ca="1">IFERROR(IF($N70,IF(AND(career_stage="P",teacher_type="R"),INDEX(INDIRECT("RPS["&amp;V$10&amp;"]"),MATCH($H70,RPS[helper],0),1), IF(AND(career_stage="HP",teacher_type="R"), INDEX(INDIRECT("RHPS["&amp;V$10&amp;"]"),MATCH($H70,RHPS[helper],0),1), IF(AND(career_stage="P",teacher_type="TB"),INDEX(INDIRECT("TBPS["&amp;V$10&amp;"]"),MATCH($H70,TBPS[helper],0),1), IF(AND(career_stage="HP",teacher_type="TB"),INDEX(INDIRECT("TBHPS["&amp;V$10&amp;"]"),MATCH($H70,TBHPS[helper],0),1),"")))),""),"")</f>
        <v>All of the learning outcomes set were aligned with the learning competencies as shown in the MOV submitted</v>
      </c>
      <c r="W70" s="391" t="str">
        <f ca="1">IFERROR(IF($N70,IF(AND(career_stage="P",teacher_type="R"),INDEX(INDIRECT("RPS["&amp;W$10&amp;"]"),MATCH($H70,RPS[helper],0),1), IF(AND(career_stage="HP",teacher_type="R"), INDEX(INDIRECT("RHPS["&amp;W$10&amp;"]"),MATCH($H70,RHPS[helper],0),1), IF(AND(career_stage="P",teacher_type="TB"),INDEX(INDIRECT("TBPS["&amp;W$10&amp;"]"),MATCH($H70,TBPS[helper],0),1), IF(AND(career_stage="HP",teacher_type="TB"),INDEX(INDIRECT("TBHPS["&amp;W$10&amp;"]"),MATCH($H70,TBHPS[helper],0),1),"")))),""),"")</f>
        <v>Majority of the learning outcomes set were aligned with the learning competencies as shown in the MOV submitted</v>
      </c>
      <c r="X70" s="391" t="str">
        <f ca="1">IFERROR(IF($N70,IF(AND(career_stage="P",teacher_type="R"),INDEX(INDIRECT("RPS["&amp;X$10&amp;"]"),MATCH($H70,RPS[helper],0),1), IF(AND(career_stage="HP",teacher_type="R"), INDEX(INDIRECT("RHPS["&amp;X$10&amp;"]"),MATCH($H70,RHPS[helper],0),1), IF(AND(career_stage="P",teacher_type="TB"),INDEX(INDIRECT("TBPS["&amp;X$10&amp;"]"),MATCH($H70,TBPS[helper],0),1), IF(AND(career_stage="HP",teacher_type="TB"),INDEX(INDIRECT("TBHPS["&amp;X$10&amp;"]"),MATCH($H70,TBHPS[helper],0),1),"")))),""),"")</f>
        <v>At least half of the learning outcomes set were aligned with the learning competencies as shown in the MOV submitted</v>
      </c>
      <c r="Y70" s="391" t="str">
        <f ca="1">IFERROR(IF($N70,IF(AND(career_stage="P",teacher_type="R"),INDEX(INDIRECT("RPS["&amp;Y$10&amp;"]"),MATCH($H70,RPS[helper],0),1), IF(AND(career_stage="HP",teacher_type="R"), INDEX(INDIRECT("RHPS["&amp;Y$10&amp;"]"),MATCH($H70,RHPS[helper],0),1), IF(AND(career_stage="P",teacher_type="TB"),INDEX(INDIRECT("TBPS["&amp;Y$10&amp;"]"),MATCH($H70,TBPS[helper],0),1), IF(AND(career_stage="HP",teacher_type="TB"),INDEX(INDIRECT("TBHPS["&amp;Y$10&amp;"]"),MATCH($H70,TBHPS[helper],0),1),"")))),""),"")</f>
        <v>Less than half of the learning outcomes set were aligned with the learning competencies as shown in the MOV submitted</v>
      </c>
      <c r="Z70" s="391" t="str">
        <f ca="1">IFERROR(IF($N70,IF(AND(career_stage="P",teacher_type="R"),INDEX(INDIRECT("RPS["&amp;Z$10&amp;"]"),MATCH($H70,RPS[helper],0),1), IF(AND(career_stage="HP",teacher_type="R"), INDEX(INDIRECT("RHPS["&amp;Z$10&amp;"]"),MATCH($H70,RHPS[helper],0),1), IF(AND(career_stage="P",teacher_type="TB"),INDEX(INDIRECT("TBPS["&amp;Z$10&amp;"]"),MATCH($H70,TBPS[helper],0),1), IF(AND(career_stage="HP",teacher_type="TB"),INDEX(INDIRECT("TBHPS["&amp;Z$10&amp;"]"),MATCH($H70,TBHPS[helper],0),1),"")))),""),"")</f>
        <v>No acceptable evidence was shown</v>
      </c>
      <c r="AA70" s="392" t="str" cm="1">
        <f t="array" aca="1" ref="AA70" ca="1">IFERROR(INDEX(V70:Z70,6-AC69),"")</f>
        <v>Majority of the learning outcomes set were aligned with the learning competencies as shown in the MOV submitted</v>
      </c>
      <c r="AB70" s="680"/>
      <c r="AC70" s="680"/>
      <c r="AD70" s="680"/>
      <c r="AE70" s="682"/>
      <c r="AF70" s="661"/>
      <c r="AG70" s="5"/>
    </row>
    <row r="71" spans="1:33" hidden="1" x14ac:dyDescent="0.25">
      <c r="A71" s="92">
        <v>20</v>
      </c>
      <c r="B71" s="99" t="str" cm="1">
        <f t="array" ref="B71">IFERROR(IF(AND(teacher_type="R",career_stage="P"),INDEX(RPI[Strand],$A71),IF(AND(teacher_type="R",career_stage="HP"),INDEX(RHPI[Strand],$A71), IF(AND(teacher_type="TB",career_stage="P"),INDEX(TBPI[Strand],$A71), IF(AND(teacher_type="TB",career_stage="HP"),INDEX(TBHPI[Strand],$A71),0)))),0)</f>
        <v>4.2.2</v>
      </c>
      <c r="C71" s="99">
        <f>IFERROR(IF(AND(teacher_type="R",career_stage="P"),VLOOKUP($B71,RPI[[Strand]:[Domain]],COLUMNS(RPI[[Strand]:[Domain]]),FALSE), IF(AND(teacher_type="R",career_stage="HP"),VLOOKUP($B71,RHPI[[Strand]:[Domain]],COLUMNS(RHPI[[Strand]:[Domain]]),FALSE), IF(AND(teacher_type="TB",career_stage="P"),VLOOKUP($B71,TBPI[[Strand]:[Domain]],COLUMNS(TBPI[[Strand]:[Domain]]),FALSE), IF(AND(teacher_type="TB",career_stage="HP"),VLOOKUP($B71,TBHPI[[Strand]:[Domain]],COLUMNS(TBHPI[[Strand]:[Domain]]),FALSE),"")))),"")</f>
        <v>3</v>
      </c>
      <c r="D71" s="99" t="b">
        <f>IFERROR(IF(AND(career_stage="P",teacher_type="R"),VLOOKUP(B71,RPI[],COLUMNS(RPI[[Strand]:[Selected]]),FALSE), IF(AND(career_stage="HP",teacher_type="R"),VLOOKUP(B71,RHPI[],COLUMNS(RHPI[[Strand]:[Selected]]),FALSE), IF(AND(career_stage="P",teacher_type="TB"),VLOOKUP(B71,TBPI[],COLUMNS(TBPI[[Strand]:[Selected]]),FALSE), IF(AND(career_stage="HP",teacher_type="TB"),VLOOKUP(B71,TBHPI[],COLUMNS(TBHPI[[Strand]:[Selected]]),FALSE),FALSE)))),FALSE)</f>
        <v>1</v>
      </c>
      <c r="E71" s="92" t="b">
        <f>COUNTIFS($C$12:$C71,C71,$D$12:$D71,TRUE)=1</f>
        <v>0</v>
      </c>
      <c r="F71" s="92" t="b">
        <f>COUNTIFS($C$12:$C71,$C71,$B$12:$B71,$B71,$D$12:$D71,TRUE)=1</f>
        <v>0</v>
      </c>
      <c r="G71" s="99">
        <f>IF($F71,COUNTIFS($C$12:$C71,C71,$F$12:$F71,TRUE),0)</f>
        <v>0</v>
      </c>
      <c r="H71" s="99" t="str">
        <f t="shared" si="0"/>
        <v>4.2.2-T</v>
      </c>
      <c r="I71" s="99">
        <f>IF(AND(D71,NOT($A71=$A70)),(COUNTIF($D$11:$D70,TRUE)/3)+1,0)</f>
        <v>0</v>
      </c>
      <c r="J71" s="99" t="s">
        <v>1014</v>
      </c>
      <c r="K71" s="99" t="b">
        <f>IF(AND(teacher_type="R",career_stage="P"),IF(AND(COUNTIFS(RPS[Strand],$B71,RPS[QET],$J71)&gt;0,$D71),TRUE,FALSE), IF(AND(teacher_type="R",career_stage="HP"),IF(AND(COUNTIFS(RHPS[Strand],$B71,RHPS[QET],$J71)&gt;0,$D71),TRUE,FALSE), IF(AND(teacher_type="TB",career_stage="P"),IF(AND(COUNTIFS(TBPS[Strand],$B71,TBPS[QET],$J71)&gt;0,$D71),TRUE,FALSE), IF(AND(teacher_type="TB",career_stage="HP"),IF(AND(COUNTIFS(TBHPS[Strand],$B71,TBHPS[QET],$J71)&gt;0,$D71),TRUE,FALSE),FALSE))))</f>
        <v>0</v>
      </c>
      <c r="L71" s="99" t="str">
        <f>IF($K71,IF(AND(teacher_type="R",career_stage="P"),VLOOKUP($B71,RPI[],COLUMNS(RPI[[Strand]:[user_selected_coi_ncoi]]),FALSE), IF(AND(teacher_type="R",career_stage="HP"),VLOOKUP($B71,RHPI[],COLUMNS(RHPI[[Strand]:[user_selected_coi_ncoi]]),FALSE), IF(AND(teacher_type="TB",career_stage="P"),VLOOKUP($B71,TBPI[],COLUMNS(TBPI[[Strand]:[user_selected_coi_ncoi]]),FALSE), IF(AND(teacher_type="TB",career_stage="HP"),VLOOKUP($B71,TBHPI[],COLUMNS(TBHPI[[Strand]:[user_selected_coi_ncoi]]),FALSE),"")))),"")</f>
        <v/>
      </c>
      <c r="M71" s="99" t="b">
        <f>IF(AND(teacher_type="R",career_stage="P"),IF(AND(COUNTIFS(RPS[Strand],$B71,RPS[QET],M$11)&gt;0,$D71),TRUE,FALSE),IF(AND(teacher_type="R",career_stage="HP"),IF(AND(COUNTIFS(RHPS[Strand],$B71,RHPS[QET],M$11)&gt;0,$D71),TRUE,FALSE), IF(AND(teacher_type="TB",career_stage="P"),IF(AND(COUNTIFS(TBPS[Strand],$B71,TBPS[QET],M$11)&gt;0,$D71),TRUE,FALSE), IF(AND(teacher_type="TB",career_stage="HP"),IF(AND(COUNTIFS(TBHPS[Strand],$B71,TBHPS[QET],M$11)&gt;0,$D71),TRUE,FALSE),FALSE))))</f>
        <v>1</v>
      </c>
      <c r="N71" s="99" t="b">
        <f>IF(AND(teacher_type="R",career_stage="P"),IF(AND(COUNTIFS(RPS[Strand],$B71,RPS[QET],N$11)&gt;0,$D71),TRUE,FALSE),IF(AND(teacher_type="R",career_stage="HP"),IF(AND(COUNTIFS(RHPS[Strand],$B71,RHPS[QET],N$11)&gt;0,$D71),TRUE,FALSE), IF(AND(teacher_type="TB",career_stage="P"),IF(AND(COUNTIFS(TBPS[Strand],$B71,TBPS[QET],N$11)&gt;0,$D71),TRUE,FALSE), IF(AND(teacher_type="TB",career_stage="HP"),IF(AND(COUNTIFS(TBHPS[Strand],$B71,TBHPS[QET],N$11)&gt;0,$D71),TRUE,FALSE),FALSE))))</f>
        <v>1</v>
      </c>
      <c r="O71" s="99" t="b">
        <f>IF(AND(teacher_type="R",career_stage="P"),IF(AND(COUNTIFS(RPS[Strand],$B71,RPS[QET],O$11)&gt;0,$D71),TRUE,FALSE),IF(AND(teacher_type="R",career_stage="HP"),IF(AND(COUNTIFS(RHPS[Strand],$B71,RHPS[QET],O$11)&gt;0,$D71),TRUE,FALSE), IF(AND(teacher_type="TB",career_stage="P"),IF(AND(COUNTIFS(TBPS[Strand],$B71,TBPS[QET],O$11)&gt;0,$D71),TRUE,FALSE), IF(AND(teacher_type="TB",career_stage="HP"),IF(AND(COUNTIFS(TBHPS[Strand],$B71,TBHPS[QET],O$11)&gt;0,$D71),TRUE,FALSE),FALSE))))</f>
        <v>0</v>
      </c>
      <c r="P71" s="710"/>
      <c r="Q71" s="662"/>
      <c r="R71" s="663"/>
      <c r="S71" s="664"/>
      <c r="T71" s="678"/>
      <c r="U71" s="94" t="s">
        <v>1187</v>
      </c>
      <c r="V71" s="391" t="str">
        <f ca="1">IFERROR(IF($O71,IF(AND(career_stage="P",teacher_type="R"),INDEX(INDIRECT("RPS["&amp;V$10&amp;"]"),MATCH($H71,RPS[helper],0),1), IF(AND(career_stage="HP",teacher_type="R"), INDEX(INDIRECT("RHPS["&amp;V$10&amp;"]"),MATCH($H71,RHPS[helper],0),1), IF(AND(career_stage="P",teacher_type="TB"),INDEX(INDIRECT("TBPS["&amp;V$10&amp;"]"),MATCH($H71,TBPS[helper],0),1), IF(AND(career_stage="HP",teacher_type="TB"),INDEX(INDIRECT("TBHPS["&amp;V$10&amp;"]"),MATCH($H71,TBHPS[helper],0),1),"")))),""),"")</f>
        <v/>
      </c>
      <c r="W71" s="391" t="str">
        <f ca="1">IFERROR(IF($O71,IF(AND(career_stage="P",teacher_type="R"),INDEX(INDIRECT("RPS["&amp;W$10&amp;"]"),MATCH($H71,RPS[helper],0),1), IF(AND(career_stage="HP",teacher_type="R"), INDEX(INDIRECT("RHPS["&amp;W$10&amp;"]"),MATCH($H71,RHPS[helper],0),1), IF(AND(career_stage="P",teacher_type="TB"),INDEX(INDIRECT("TBPS["&amp;W$10&amp;"]"),MATCH($H71,TBPS[helper],0),1), IF(AND(career_stage="HP",teacher_type="TB"),INDEX(INDIRECT("TBHPS["&amp;W$10&amp;"]"),MATCH($H71,TBHPS[helper],0),1),"")))),""),"")</f>
        <v/>
      </c>
      <c r="X71" s="391" t="str">
        <f ca="1">IFERROR(IF($O71,IF(AND(career_stage="P",teacher_type="R"),INDEX(INDIRECT("RPS["&amp;X$10&amp;"]"),MATCH($H71,RPS[helper],0),1), IF(AND(career_stage="HP",teacher_type="R"), INDEX(INDIRECT("RHPS["&amp;X$10&amp;"]"),MATCH($H71,RHPS[helper],0),1), IF(AND(career_stage="P",teacher_type="TB"),INDEX(INDIRECT("TBPS["&amp;X$10&amp;"]"),MATCH($H71,TBPS[helper],0),1), IF(AND(career_stage="HP",teacher_type="TB"),INDEX(INDIRECT("TBHPS["&amp;X$10&amp;"]"),MATCH($H71,TBHPS[helper],0),1),"")))),""),"")</f>
        <v/>
      </c>
      <c r="Y71" s="391" t="str">
        <f ca="1">IFERROR(IF($O71,IF(AND(career_stage="P",teacher_type="R"),INDEX(INDIRECT("RPS["&amp;Y$10&amp;"]"),MATCH($H71,RPS[helper],0),1), IF(AND(career_stage="HP",teacher_type="R"), INDEX(INDIRECT("RHPS["&amp;Y$10&amp;"]"),MATCH($H71,RHPS[helper],0),1), IF(AND(career_stage="P",teacher_type="TB"),INDEX(INDIRECT("TBPS["&amp;Y$10&amp;"]"),MATCH($H71,TBPS[helper],0),1), IF(AND(career_stage="HP",teacher_type="TB"),INDEX(INDIRECT("TBHPS["&amp;Y$10&amp;"]"),MATCH($H71,TBHPS[helper],0),1),"")))),""),"")</f>
        <v/>
      </c>
      <c r="Z71" s="391" t="str">
        <f ca="1">IFERROR(IF($O71,IF(AND(career_stage="P",teacher_type="R"),INDEX(INDIRECT("RPS["&amp;Z$10&amp;"]"),MATCH($H71,RPS[helper],0),1), IF(AND(career_stage="HP",teacher_type="R"), INDEX(INDIRECT("RHPS["&amp;Z$10&amp;"]"),MATCH($H71,RHPS[helper],0),1), IF(AND(career_stage="P",teacher_type="TB"),INDEX(INDIRECT("TBPS["&amp;Z$10&amp;"]"),MATCH($H71,TBPS[helper],0),1), IF(AND(career_stage="HP",teacher_type="TB"),INDEX(INDIRECT("TBHPS["&amp;Z$10&amp;"]"),MATCH($H71,TBHPS[helper],0),1),"")))),""),"")</f>
        <v/>
      </c>
      <c r="AA71" s="391" t="str" cm="1">
        <f t="array" ref="AA71">IFERROR(INDEX(V71:Z71,6-AD69),"")</f>
        <v/>
      </c>
      <c r="AB71" s="680"/>
      <c r="AC71" s="680"/>
      <c r="AD71" s="680"/>
      <c r="AE71" s="682"/>
      <c r="AF71" s="661"/>
      <c r="AG71" s="5"/>
    </row>
    <row r="72" spans="1:33" hidden="1" x14ac:dyDescent="0.25">
      <c r="A72" s="92">
        <v>21</v>
      </c>
      <c r="B72" s="99" t="str" cm="1">
        <f t="array" ref="B72">IFERROR(IF(AND(teacher_type="R",career_stage="P"),INDEX(RPI[Strand],$A72),IF(AND(teacher_type="R",career_stage="HP"),INDEX(RHPI[Strand],$A72), IF(AND(teacher_type="TB",career_stage="P"),INDEX(TBPI[Strand],$A72), IF(AND(teacher_type="TB",career_stage="HP"),INDEX(TBHPI[Strand],$A72),0)))),0)</f>
        <v>4.3.2</v>
      </c>
      <c r="C72" s="99">
        <f>IFERROR(IF(AND(teacher_type="R",career_stage="P"),VLOOKUP($B72,RPI[[Strand]:[Domain]],COLUMNS(RPI[[Strand]:[Domain]]),FALSE), IF(AND(teacher_type="R",career_stage="HP"),VLOOKUP($B72,RHPI[[Strand]:[Domain]],COLUMNS(RHPI[[Strand]:[Domain]]),FALSE), IF(AND(teacher_type="TB",career_stage="P"),VLOOKUP($B72,TBPI[[Strand]:[Domain]],COLUMNS(TBPI[[Strand]:[Domain]]),FALSE), IF(AND(teacher_type="TB",career_stage="HP"),VLOOKUP($B72,TBHPI[[Strand]:[Domain]],COLUMNS(TBHPI[[Strand]:[Domain]]),FALSE),"")))),"")</f>
        <v>3</v>
      </c>
      <c r="D72" s="99" t="b">
        <f>IFERROR(IF(AND(career_stage="P",teacher_type="R"),VLOOKUP(B72,RPI[],COLUMNS(RPI[[Strand]:[Selected]]),FALSE), IF(AND(career_stage="HP",teacher_type="R"),VLOOKUP(B72,RHPI[],COLUMNS(RHPI[[Strand]:[Selected]]),FALSE), IF(AND(career_stage="P",teacher_type="TB"),VLOOKUP(B72,TBPI[],COLUMNS(TBPI[[Strand]:[Selected]]),FALSE), IF(AND(career_stage="HP",teacher_type="TB"),VLOOKUP(B72,TBHPI[],COLUMNS(TBHPI[[Strand]:[Selected]]),FALSE),FALSE)))),FALSE)</f>
        <v>0</v>
      </c>
      <c r="E72" s="92" t="b">
        <f>COUNTIFS($C$12:$C72,C72,$D$12:$D72,TRUE)=1</f>
        <v>0</v>
      </c>
      <c r="F72" s="92" t="b">
        <f>COUNTIFS($C$12:$C72,$C72,$B$12:$B72,$B72,$D$12:$D72,TRUE)=1</f>
        <v>0</v>
      </c>
      <c r="G72" s="99">
        <f>IF($F72,COUNTIFS($C$12:$C72,C72,$F$12:$F72,TRUE),0)</f>
        <v>0</v>
      </c>
      <c r="H72" s="99" t="str">
        <f t="shared" si="0"/>
        <v>4.3.2-Q</v>
      </c>
      <c r="I72" s="99">
        <f>IF(AND(D72,NOT($A72=$A71)),(COUNTIF($D$11:$D71,TRUE)/3)+1,0)</f>
        <v>0</v>
      </c>
      <c r="J72" s="99" t="s">
        <v>1012</v>
      </c>
      <c r="K72" s="99" t="b">
        <f>IF(AND(teacher_type="R",career_stage="P"),IF(AND(COUNTIFS(RPS[Strand],$B72,RPS[QET],$J72)&gt;0,$D72),TRUE,FALSE), IF(AND(teacher_type="R",career_stage="HP"),IF(AND(COUNTIFS(RHPS[Strand],$B72,RHPS[QET],$J72)&gt;0,$D72),TRUE,FALSE), IF(AND(teacher_type="TB",career_stage="P"),IF(AND(COUNTIFS(TBPS[Strand],$B72,TBPS[QET],$J72)&gt;0,$D72),TRUE,FALSE), IF(AND(teacher_type="TB",career_stage="HP"),IF(AND(COUNTIFS(TBHPS[Strand],$B72,TBHPS[QET],$J72)&gt;0,$D72),TRUE,FALSE),FALSE))))</f>
        <v>0</v>
      </c>
      <c r="L72" s="99" t="str">
        <f>IF($K72,IF(AND(teacher_type="R",career_stage="P"),VLOOKUP($B72,RPI[],COLUMNS(RPI[[Strand]:[user_selected_coi_ncoi]]),FALSE), IF(AND(teacher_type="R",career_stage="HP"),VLOOKUP($B72,RHPI[],COLUMNS(RHPI[[Strand]:[user_selected_coi_ncoi]]),FALSE), IF(AND(teacher_type="TB",career_stage="P"),VLOOKUP($B72,TBPI[],COLUMNS(TBPI[[Strand]:[user_selected_coi_ncoi]]),FALSE), IF(AND(teacher_type="TB",career_stage="HP"),VLOOKUP($B72,TBHPI[],COLUMNS(TBHPI[[Strand]:[user_selected_coi_ncoi]]),FALSE),"")))),"")</f>
        <v/>
      </c>
      <c r="M72" s="99" t="b">
        <f>IF(AND(teacher_type="R",career_stage="P"),IF(AND(COUNTIFS(RPS[Strand],$B72,RPS[QET],M$11)&gt;0,$D72),TRUE,FALSE),IF(AND(teacher_type="R",career_stage="HP"),IF(AND(COUNTIFS(RHPS[Strand],$B72,RHPS[QET],M$11)&gt;0,$D72),TRUE,FALSE), IF(AND(teacher_type="TB",career_stage="P"),IF(AND(COUNTIFS(TBPS[Strand],$B72,TBPS[QET],M$11)&gt;0,$D72),TRUE,FALSE), IF(AND(teacher_type="TB",career_stage="HP"),IF(AND(COUNTIFS(TBHPS[Strand],$B72,TBHPS[QET],M$11)&gt;0,$D72),TRUE,FALSE),FALSE))))</f>
        <v>0</v>
      </c>
      <c r="N72" s="99" t="b">
        <f>IF(AND(teacher_type="R",career_stage="P"),IF(AND(COUNTIFS(RPS[Strand],$B72,RPS[QET],N$11)&gt;0,$D72),TRUE,FALSE),IF(AND(teacher_type="R",career_stage="HP"),IF(AND(COUNTIFS(RHPS[Strand],$B72,RHPS[QET],N$11)&gt;0,$D72),TRUE,FALSE), IF(AND(teacher_type="TB",career_stage="P"),IF(AND(COUNTIFS(TBPS[Strand],$B72,TBPS[QET],N$11)&gt;0,$D72),TRUE,FALSE), IF(AND(teacher_type="TB",career_stage="HP"),IF(AND(COUNTIFS(TBHPS[Strand],$B72,TBHPS[QET],N$11)&gt;0,$D72),TRUE,FALSE),FALSE))))</f>
        <v>0</v>
      </c>
      <c r="O72" s="99" t="b">
        <f>IF(AND(teacher_type="R",career_stage="P"),IF(AND(COUNTIFS(RPS[Strand],$B72,RPS[QET],O$11)&gt;0,$D72),TRUE,FALSE),IF(AND(teacher_type="R",career_stage="HP"),IF(AND(COUNTIFS(RHPS[Strand],$B72,RHPS[QET],O$11)&gt;0,$D72),TRUE,FALSE), IF(AND(teacher_type="TB",career_stage="P"),IF(AND(COUNTIFS(TBPS[Strand],$B72,TBPS[QET],O$11)&gt;0,$D72),TRUE,FALSE), IF(AND(teacher_type="TB",career_stage="HP"),IF(AND(COUNTIFS(TBHPS[Strand],$B72,TBHPS[QET],O$11)&gt;0,$D72),TRUE,FALSE),FALSE))))</f>
        <v>0</v>
      </c>
      <c r="P72" s="710"/>
      <c r="Q72" s="662" t="str">
        <f>IFERROR(IF(E72,IF(C72="Plus Factor","Plus Factor",C72 &amp; ". " &amp; INDEX(Domains[Domain],MATCH(C72,Domains[Domain_code],0),1)),""),"")</f>
        <v/>
      </c>
      <c r="R72" s="663" t="str">
        <f>IFERROR(IF($F72,$I72 &amp; ". " &amp; IF(AND(career_stage="P",teacher_type="R"), INDEX(RPI[PPST Indicators],MATCH($B72,RPI[Strand],0),1), IF(AND(career_stage="HP",teacher_type="R"),INDEX(RHPI[PPST Indicators],MATCH($B72,RHPI[Strand],0),1), IF(AND(career_stage="P",teacher_type="TB"),INDEX(TBPI[PPST Indicators],MATCH($B72,TBPI[Strand],0),1), IF(AND(career_stage="HP",teacher_type="TB"),INDEX(TBHPI[PPST Indicators],MATCH($B72,TBHPI[Strand],0),1),"")))) &amp; IF(NOT(TRIM(LOWER($C72))="plus factor")," (PPST "&amp;B72&amp;")",""),""),"")</f>
        <v/>
      </c>
      <c r="S72" s="664" t="str" cm="1">
        <f t="array" ref="S72">demographics[rating_period]</f>
        <v>SY 2023-2024</v>
      </c>
      <c r="T72" s="678">
        <f>IFERROR(IF(AND(career_stage="P",teacher_type="R"),VLOOKUP(B72,RPI[],COLUMNS(RPI[[Strand]:[Weight]]),FALSE), IF(AND(career_stage="HP",teacher_type="R"),VLOOKUP(B72,RHPI[],COLUMNS(RHPI[[Strand]:[Weight]]),FALSE), IF(AND(career_stage="P",teacher_type="TB"),VLOOKUP(B72,TBPI[],COLUMNS(TBPI[[Strand]:[Weight]]),FALSE), IF(AND(career_stage="HP",teacher_type="TB"),VLOOKUP(B72,TBHPI[],COLUMNS(TBHPI[[Strand]:[Weight]]),FALSE),0)))),0)</f>
        <v>0</v>
      </c>
      <c r="U72" s="94" t="s">
        <v>1185</v>
      </c>
      <c r="V72" s="391" t="str">
        <f ca="1">IFERROR(IF($M72,IF(AND(career_stage="P",teacher_type="R"),INDEX(INDIRECT("RPS["&amp;V$10&amp;"]"),MATCH($H72,RPS[helper],0),1), IF(AND(career_stage="HP",teacher_type="R"), INDEX(INDIRECT("RHPS["&amp;V$10&amp;"]"),MATCH($H72,RHPS[helper],0),1), IF(AND(career_stage="P",teacher_type="TB"),INDEX(INDIRECT("TBPS["&amp;V$10&amp;"]"),MATCH($H72,TBPS[helper],0),1), IF(AND(career_stage="HP",teacher_type="TB"),INDEX(INDIRECT("TBHPS["&amp;V$10&amp;"]"),MATCH($H72,TBHPS[helper],0),1),"")))),""),"")</f>
        <v/>
      </c>
      <c r="W72" s="391" t="str">
        <f ca="1">IFERROR(IF($M72,IF(AND(career_stage="P",teacher_type="R"),INDEX(INDIRECT("RPS["&amp;W$10&amp;"]"),MATCH($H72,RPS[helper],0),1), IF(AND(career_stage="HP",teacher_type="R"), INDEX(INDIRECT("RHPS["&amp;W$10&amp;"]"),MATCH($H72,RHPS[helper],0),1), IF(AND(career_stage="P",teacher_type="TB"),INDEX(INDIRECT("TBPS["&amp;W$10&amp;"]"),MATCH($H72,TBPS[helper],0),1), IF(AND(career_stage="HP",teacher_type="TB"),INDEX(INDIRECT("TBHPS["&amp;W$10&amp;"]"),MATCH($H72,TBHPS[helper],0),1),"")))),""),"")</f>
        <v/>
      </c>
      <c r="X72" s="391" t="str">
        <f ca="1">IFERROR(IF($M72,IF(AND(career_stage="P",teacher_type="R"),INDEX(INDIRECT("RPS["&amp;X$10&amp;"]"),MATCH($H72,RPS[helper],0),1), IF(AND(career_stage="HP",teacher_type="R"), INDEX(INDIRECT("RHPS["&amp;X$10&amp;"]"),MATCH($H72,RHPS[helper],0),1), IF(AND(career_stage="P",teacher_type="TB"),INDEX(INDIRECT("TBPS["&amp;X$10&amp;"]"),MATCH($H72,TBPS[helper],0),1), IF(AND(career_stage="HP",teacher_type="TB"),INDEX(INDIRECT("TBHPS["&amp;X$10&amp;"]"),MATCH($H72,TBHPS[helper],0),1),"")))),""),"")</f>
        <v/>
      </c>
      <c r="Y72" s="391" t="str">
        <f ca="1">IFERROR(IF($M72,IF(AND(career_stage="P",teacher_type="R"),INDEX(INDIRECT("RPS["&amp;Y$10&amp;"]"),MATCH($H72,RPS[helper],0),1), IF(AND(career_stage="HP",teacher_type="R"), INDEX(INDIRECT("RHPS["&amp;Y$10&amp;"]"),MATCH($H72,RHPS[helper],0),1), IF(AND(career_stage="P",teacher_type="TB"),INDEX(INDIRECT("TBPS["&amp;Y$10&amp;"]"),MATCH($H72,TBPS[helper],0),1), IF(AND(career_stage="HP",teacher_type="TB"),INDEX(INDIRECT("TBHPS["&amp;Y$10&amp;"]"),MATCH($H72,TBHPS[helper],0),1),"")))),""),"")</f>
        <v/>
      </c>
      <c r="Z72" s="391" t="str">
        <f ca="1">IFERROR(IF($M72,IF(AND(career_stage="P",teacher_type="R"),INDEX(INDIRECT("RPS["&amp;Z$10&amp;"]"),MATCH($H72,RPS[helper],0),1), IF(AND(career_stage="HP",teacher_type="R"), INDEX(INDIRECT("RHPS["&amp;Z$10&amp;"]"),MATCH($H72,RHPS[helper],0),1), IF(AND(career_stage="P",teacher_type="TB"),INDEX(INDIRECT("TBPS["&amp;Z$10&amp;"]"),MATCH($H72,TBPS[helper],0),1), IF(AND(career_stage="HP",teacher_type="TB"),INDEX(INDIRECT("TBHPS["&amp;Z$10&amp;"]"),MATCH($H72,TBHPS[helper],0),1),"")))),""),"")</f>
        <v/>
      </c>
      <c r="AA72" s="392" t="str" cm="1">
        <f t="array" ref="AA72">IFERROR(INDEX(V72:Z72,6-AB72),"")</f>
        <v/>
      </c>
      <c r="AB72" s="680" t="str">
        <f>IF('Encoding Part 1'!AB42="","",'Encoding Part 1'!AB42)</f>
        <v/>
      </c>
      <c r="AC72" s="680" t="str">
        <f>IF('Encoding Part 1'!AC42="","",'Encoding Part 1'!AC42)</f>
        <v/>
      </c>
      <c r="AD72" s="680" t="str">
        <f>IF('Encoding Part 1'!AD42="","",'Encoding Part 1'!AD42)</f>
        <v/>
      </c>
      <c r="AE72" s="682">
        <f t="shared" ref="AE72" si="39">IFERROR(ROUNDDOWN(AVERAGE($AB72:$AD72),3),0)</f>
        <v>0</v>
      </c>
      <c r="AF72" s="661">
        <f t="shared" ref="AF72" si="40">ROUNDDOWN($AE72*$T72,3)</f>
        <v>0</v>
      </c>
      <c r="AG72" s="5"/>
    </row>
    <row r="73" spans="1:33" hidden="1" x14ac:dyDescent="0.25">
      <c r="A73" s="92">
        <v>21</v>
      </c>
      <c r="B73" s="99" t="str" cm="1">
        <f t="array" ref="B73">IFERROR(IF(AND(teacher_type="R",career_stage="P"),INDEX(RPI[Strand],$A73),IF(AND(teacher_type="R",career_stage="HP"),INDEX(RHPI[Strand],$A73), IF(AND(teacher_type="TB",career_stage="P"),INDEX(TBPI[Strand],$A73), IF(AND(teacher_type="TB",career_stage="HP"),INDEX(TBHPI[Strand],$A73),0)))),0)</f>
        <v>4.3.2</v>
      </c>
      <c r="C73" s="99">
        <f>IFERROR(IF(AND(teacher_type="R",career_stage="P"),VLOOKUP($B73,RPI[[Strand]:[Domain]],COLUMNS(RPI[[Strand]:[Domain]]),FALSE), IF(AND(teacher_type="R",career_stage="HP"),VLOOKUP($B73,RHPI[[Strand]:[Domain]],COLUMNS(RHPI[[Strand]:[Domain]]),FALSE), IF(AND(teacher_type="TB",career_stage="P"),VLOOKUP($B73,TBPI[[Strand]:[Domain]],COLUMNS(TBPI[[Strand]:[Domain]]),FALSE), IF(AND(teacher_type="TB",career_stage="HP"),VLOOKUP($B73,TBHPI[[Strand]:[Domain]],COLUMNS(TBHPI[[Strand]:[Domain]]),FALSE),"")))),"")</f>
        <v>3</v>
      </c>
      <c r="D73" s="99" t="b">
        <f>IFERROR(IF(AND(career_stage="P",teacher_type="R"),VLOOKUP(B73,RPI[],COLUMNS(RPI[[Strand]:[Selected]]),FALSE), IF(AND(career_stage="HP",teacher_type="R"),VLOOKUP(B73,RHPI[],COLUMNS(RHPI[[Strand]:[Selected]]),FALSE), IF(AND(career_stage="P",teacher_type="TB"),VLOOKUP(B73,TBPI[],COLUMNS(TBPI[[Strand]:[Selected]]),FALSE), IF(AND(career_stage="HP",teacher_type="TB"),VLOOKUP(B73,TBHPI[],COLUMNS(TBHPI[[Strand]:[Selected]]),FALSE),FALSE)))),FALSE)</f>
        <v>0</v>
      </c>
      <c r="E73" s="92" t="b">
        <f>COUNTIFS($C$12:$C73,C73,$D$12:$D73,TRUE)=1</f>
        <v>0</v>
      </c>
      <c r="F73" s="92" t="b">
        <f>COUNTIFS($C$12:$C73,$C73,$B$12:$B73,$B73,$D$12:$D73,TRUE)=1</f>
        <v>0</v>
      </c>
      <c r="G73" s="99">
        <f>IF($F73,COUNTIFS($C$12:$C73,C73,$F$12:$F73,TRUE),0)</f>
        <v>0</v>
      </c>
      <c r="H73" s="99" t="str">
        <f t="shared" si="0"/>
        <v>4.3.2-E</v>
      </c>
      <c r="I73" s="99">
        <f>IF(AND(D73,NOT($A73=$A72)),(COUNTIF($D$11:$D72,TRUE)/3)+1,0)</f>
        <v>0</v>
      </c>
      <c r="J73" s="99" t="s">
        <v>1073</v>
      </c>
      <c r="K73" s="99" t="b">
        <f>IF(AND(teacher_type="R",career_stage="P"),IF(AND(COUNTIFS(RPS[Strand],$B73,RPS[QET],$J73)&gt;0,$D73),TRUE,FALSE), IF(AND(teacher_type="R",career_stage="HP"),IF(AND(COUNTIFS(RHPS[Strand],$B73,RHPS[QET],$J73)&gt;0,$D73),TRUE,FALSE), IF(AND(teacher_type="TB",career_stage="P"),IF(AND(COUNTIFS(TBPS[Strand],$B73,TBPS[QET],$J73)&gt;0,$D73),TRUE,FALSE), IF(AND(teacher_type="TB",career_stage="HP"),IF(AND(COUNTIFS(TBHPS[Strand],$B73,TBHPS[QET],$J73)&gt;0,$D73),TRUE,FALSE),FALSE))))</f>
        <v>0</v>
      </c>
      <c r="L73" s="99" t="str">
        <f>IF($K73,IF(AND(teacher_type="R",career_stage="P"),VLOOKUP($B73,RPI[],COLUMNS(RPI[[Strand]:[user_selected_coi_ncoi]]),FALSE), IF(AND(teacher_type="R",career_stage="HP"),VLOOKUP($B73,RHPI[],COLUMNS(RHPI[[Strand]:[user_selected_coi_ncoi]]),FALSE), IF(AND(teacher_type="TB",career_stage="P"),VLOOKUP($B73,TBPI[],COLUMNS(TBPI[[Strand]:[user_selected_coi_ncoi]]),FALSE), IF(AND(teacher_type="TB",career_stage="HP"),VLOOKUP($B73,TBHPI[],COLUMNS(TBHPI[[Strand]:[user_selected_coi_ncoi]]),FALSE),"")))),"")</f>
        <v/>
      </c>
      <c r="M73" s="99" t="b">
        <f>IF(AND(teacher_type="R",career_stage="P"),IF(AND(COUNTIFS(RPS[Strand],$B73,RPS[QET],M$11)&gt;0,$D73),TRUE,FALSE),IF(AND(teacher_type="R",career_stage="HP"),IF(AND(COUNTIFS(RHPS[Strand],$B73,RHPS[QET],M$11)&gt;0,$D73),TRUE,FALSE), IF(AND(teacher_type="TB",career_stage="P"),IF(AND(COUNTIFS(TBPS[Strand],$B73,TBPS[QET],M$11)&gt;0,$D73),TRUE,FALSE), IF(AND(teacher_type="TB",career_stage="HP"),IF(AND(COUNTIFS(TBHPS[Strand],$B73,TBHPS[QET],M$11)&gt;0,$D73),TRUE,FALSE),FALSE))))</f>
        <v>0</v>
      </c>
      <c r="N73" s="99" t="b">
        <f>IF(AND(teacher_type="R",career_stage="P"),IF(AND(COUNTIFS(RPS[Strand],$B73,RPS[QET],N$11)&gt;0,$D73),TRUE,FALSE),IF(AND(teacher_type="R",career_stage="HP"),IF(AND(COUNTIFS(RHPS[Strand],$B73,RHPS[QET],N$11)&gt;0,$D73),TRUE,FALSE), IF(AND(teacher_type="TB",career_stage="P"),IF(AND(COUNTIFS(TBPS[Strand],$B73,TBPS[QET],N$11)&gt;0,$D73),TRUE,FALSE), IF(AND(teacher_type="TB",career_stage="HP"),IF(AND(COUNTIFS(TBHPS[Strand],$B73,TBHPS[QET],N$11)&gt;0,$D73),TRUE,FALSE),FALSE))))</f>
        <v>0</v>
      </c>
      <c r="O73" s="99" t="b">
        <f>IF(AND(teacher_type="R",career_stage="P"),IF(AND(COUNTIFS(RPS[Strand],$B73,RPS[QET],O$11)&gt;0,$D73),TRUE,FALSE),IF(AND(teacher_type="R",career_stage="HP"),IF(AND(COUNTIFS(RHPS[Strand],$B73,RHPS[QET],O$11)&gt;0,$D73),TRUE,FALSE), IF(AND(teacher_type="TB",career_stage="P"),IF(AND(COUNTIFS(TBPS[Strand],$B73,TBPS[QET],O$11)&gt;0,$D73),TRUE,FALSE), IF(AND(teacher_type="TB",career_stage="HP"),IF(AND(COUNTIFS(TBHPS[Strand],$B73,TBHPS[QET],O$11)&gt;0,$D73),TRUE,FALSE),FALSE))))</f>
        <v>0</v>
      </c>
      <c r="P73" s="710"/>
      <c r="Q73" s="662"/>
      <c r="R73" s="663"/>
      <c r="S73" s="664"/>
      <c r="T73" s="678"/>
      <c r="U73" s="94" t="s">
        <v>1186</v>
      </c>
      <c r="V73" s="391" t="str">
        <f ca="1">IFERROR(IF($N73,IF(AND(career_stage="P",teacher_type="R"),INDEX(INDIRECT("RPS["&amp;V$10&amp;"]"),MATCH($H73,RPS[helper],0),1), IF(AND(career_stage="HP",teacher_type="R"), INDEX(INDIRECT("RHPS["&amp;V$10&amp;"]"),MATCH($H73,RHPS[helper],0),1), IF(AND(career_stage="P",teacher_type="TB"),INDEX(INDIRECT("TBPS["&amp;V$10&amp;"]"),MATCH($H73,TBPS[helper],0),1), IF(AND(career_stage="HP",teacher_type="TB"),INDEX(INDIRECT("TBHPS["&amp;V$10&amp;"]"),MATCH($H73,TBHPS[helper],0),1),"")))),""),"")</f>
        <v/>
      </c>
      <c r="W73" s="391" t="str">
        <f ca="1">IFERROR(IF($N73,IF(AND(career_stage="P",teacher_type="R"),INDEX(INDIRECT("RPS["&amp;W$10&amp;"]"),MATCH($H73,RPS[helper],0),1), IF(AND(career_stage="HP",teacher_type="R"), INDEX(INDIRECT("RHPS["&amp;W$10&amp;"]"),MATCH($H73,RHPS[helper],0),1), IF(AND(career_stage="P",teacher_type="TB"),INDEX(INDIRECT("TBPS["&amp;W$10&amp;"]"),MATCH($H73,TBPS[helper],0),1), IF(AND(career_stage="HP",teacher_type="TB"),INDEX(INDIRECT("TBHPS["&amp;W$10&amp;"]"),MATCH($H73,TBHPS[helper],0),1),"")))),""),"")</f>
        <v/>
      </c>
      <c r="X73" s="391" t="str">
        <f ca="1">IFERROR(IF($N73,IF(AND(career_stage="P",teacher_type="R"),INDEX(INDIRECT("RPS["&amp;X$10&amp;"]"),MATCH($H73,RPS[helper],0),1), IF(AND(career_stage="HP",teacher_type="R"), INDEX(INDIRECT("RHPS["&amp;X$10&amp;"]"),MATCH($H73,RHPS[helper],0),1), IF(AND(career_stage="P",teacher_type="TB"),INDEX(INDIRECT("TBPS["&amp;X$10&amp;"]"),MATCH($H73,TBPS[helper],0),1), IF(AND(career_stage="HP",teacher_type="TB"),INDEX(INDIRECT("TBHPS["&amp;X$10&amp;"]"),MATCH($H73,TBHPS[helper],0),1),"")))),""),"")</f>
        <v/>
      </c>
      <c r="Y73" s="391" t="str">
        <f ca="1">IFERROR(IF($N73,IF(AND(career_stage="P",teacher_type="R"),INDEX(INDIRECT("RPS["&amp;Y$10&amp;"]"),MATCH($H73,RPS[helper],0),1), IF(AND(career_stage="HP",teacher_type="R"), INDEX(INDIRECT("RHPS["&amp;Y$10&amp;"]"),MATCH($H73,RHPS[helper],0),1), IF(AND(career_stage="P",teacher_type="TB"),INDEX(INDIRECT("TBPS["&amp;Y$10&amp;"]"),MATCH($H73,TBPS[helper],0),1), IF(AND(career_stage="HP",teacher_type="TB"),INDEX(INDIRECT("TBHPS["&amp;Y$10&amp;"]"),MATCH($H73,TBHPS[helper],0),1),"")))),""),"")</f>
        <v/>
      </c>
      <c r="Z73" s="391" t="str">
        <f ca="1">IFERROR(IF($N73,IF(AND(career_stage="P",teacher_type="R"),INDEX(INDIRECT("RPS["&amp;Z$10&amp;"]"),MATCH($H73,RPS[helper],0),1), IF(AND(career_stage="HP",teacher_type="R"), INDEX(INDIRECT("RHPS["&amp;Z$10&amp;"]"),MATCH($H73,RHPS[helper],0),1), IF(AND(career_stage="P",teacher_type="TB"),INDEX(INDIRECT("TBPS["&amp;Z$10&amp;"]"),MATCH($H73,TBPS[helper],0),1), IF(AND(career_stage="HP",teacher_type="TB"),INDEX(INDIRECT("TBHPS["&amp;Z$10&amp;"]"),MATCH($H73,TBHPS[helper],0),1),"")))),""),"")</f>
        <v/>
      </c>
      <c r="AA73" s="392" t="str" cm="1">
        <f t="array" ref="AA73">IFERROR(INDEX(V73:Z73,6-AC72),"")</f>
        <v/>
      </c>
      <c r="AB73" s="680"/>
      <c r="AC73" s="680"/>
      <c r="AD73" s="680"/>
      <c r="AE73" s="682"/>
      <c r="AF73" s="661"/>
      <c r="AG73" s="5"/>
    </row>
    <row r="74" spans="1:33" hidden="1" x14ac:dyDescent="0.25">
      <c r="A74" s="92">
        <v>21</v>
      </c>
      <c r="B74" s="99" t="str" cm="1">
        <f t="array" ref="B74">IFERROR(IF(AND(teacher_type="R",career_stage="P"),INDEX(RPI[Strand],$A74),IF(AND(teacher_type="R",career_stage="HP"),INDEX(RHPI[Strand],$A74), IF(AND(teacher_type="TB",career_stage="P"),INDEX(TBPI[Strand],$A74), IF(AND(teacher_type="TB",career_stage="HP"),INDEX(TBHPI[Strand],$A74),0)))),0)</f>
        <v>4.3.2</v>
      </c>
      <c r="C74" s="99">
        <f>IFERROR(IF(AND(teacher_type="R",career_stage="P"),VLOOKUP($B74,RPI[[Strand]:[Domain]],COLUMNS(RPI[[Strand]:[Domain]]),FALSE), IF(AND(teacher_type="R",career_stage="HP"),VLOOKUP($B74,RHPI[[Strand]:[Domain]],COLUMNS(RHPI[[Strand]:[Domain]]),FALSE), IF(AND(teacher_type="TB",career_stage="P"),VLOOKUP($B74,TBPI[[Strand]:[Domain]],COLUMNS(TBPI[[Strand]:[Domain]]),FALSE), IF(AND(teacher_type="TB",career_stage="HP"),VLOOKUP($B74,TBHPI[[Strand]:[Domain]],COLUMNS(TBHPI[[Strand]:[Domain]]),FALSE),"")))),"")</f>
        <v>3</v>
      </c>
      <c r="D74" s="99" t="b">
        <f>IFERROR(IF(AND(career_stage="P",teacher_type="R"),VLOOKUP(B74,RPI[],COLUMNS(RPI[[Strand]:[Selected]]),FALSE), IF(AND(career_stage="HP",teacher_type="R"),VLOOKUP(B74,RHPI[],COLUMNS(RHPI[[Strand]:[Selected]]),FALSE), IF(AND(career_stage="P",teacher_type="TB"),VLOOKUP(B74,TBPI[],COLUMNS(TBPI[[Strand]:[Selected]]),FALSE), IF(AND(career_stage="HP",teacher_type="TB"),VLOOKUP(B74,TBHPI[],COLUMNS(TBHPI[[Strand]:[Selected]]),FALSE),FALSE)))),FALSE)</f>
        <v>0</v>
      </c>
      <c r="E74" s="92" t="b">
        <f>COUNTIFS($C$12:$C74,C74,$D$12:$D74,TRUE)=1</f>
        <v>0</v>
      </c>
      <c r="F74" s="92" t="b">
        <f>COUNTIFS($C$12:$C74,$C74,$B$12:$B74,$B74,$D$12:$D74,TRUE)=1</f>
        <v>0</v>
      </c>
      <c r="G74" s="99">
        <f>IF($F74,COUNTIFS($C$12:$C74,C74,$F$12:$F74,TRUE),0)</f>
        <v>0</v>
      </c>
      <c r="H74" s="99" t="str">
        <f t="shared" si="0"/>
        <v>4.3.2-T</v>
      </c>
      <c r="I74" s="99">
        <f>IF(AND(D74,NOT($A74=$A73)),(COUNTIF($D$11:$D73,TRUE)/3)+1,0)</f>
        <v>0</v>
      </c>
      <c r="J74" s="99" t="s">
        <v>1014</v>
      </c>
      <c r="K74" s="99" t="b">
        <f>IF(AND(teacher_type="R",career_stage="P"),IF(AND(COUNTIFS(RPS[Strand],$B74,RPS[QET],$J74)&gt;0,$D74),TRUE,FALSE), IF(AND(teacher_type="R",career_stage="HP"),IF(AND(COUNTIFS(RHPS[Strand],$B74,RHPS[QET],$J74)&gt;0,$D74),TRUE,FALSE), IF(AND(teacher_type="TB",career_stage="P"),IF(AND(COUNTIFS(TBPS[Strand],$B74,TBPS[QET],$J74)&gt;0,$D74),TRUE,FALSE), IF(AND(teacher_type="TB",career_stage="HP"),IF(AND(COUNTIFS(TBHPS[Strand],$B74,TBHPS[QET],$J74)&gt;0,$D74),TRUE,FALSE),FALSE))))</f>
        <v>0</v>
      </c>
      <c r="L74" s="99" t="str">
        <f>IF($K74,IF(AND(teacher_type="R",career_stage="P"),VLOOKUP($B74,RPI[],COLUMNS(RPI[[Strand]:[user_selected_coi_ncoi]]),FALSE), IF(AND(teacher_type="R",career_stage="HP"),VLOOKUP($B74,RHPI[],COLUMNS(RHPI[[Strand]:[user_selected_coi_ncoi]]),FALSE), IF(AND(teacher_type="TB",career_stage="P"),VLOOKUP($B74,TBPI[],COLUMNS(TBPI[[Strand]:[user_selected_coi_ncoi]]),FALSE), IF(AND(teacher_type="TB",career_stage="HP"),VLOOKUP($B74,TBHPI[],COLUMNS(TBHPI[[Strand]:[user_selected_coi_ncoi]]),FALSE),"")))),"")</f>
        <v/>
      </c>
      <c r="M74" s="99" t="b">
        <f>IF(AND(teacher_type="R",career_stage="P"),IF(AND(COUNTIFS(RPS[Strand],$B74,RPS[QET],M$11)&gt;0,$D74),TRUE,FALSE),IF(AND(teacher_type="R",career_stage="HP"),IF(AND(COUNTIFS(RHPS[Strand],$B74,RHPS[QET],M$11)&gt;0,$D74),TRUE,FALSE), IF(AND(teacher_type="TB",career_stage="P"),IF(AND(COUNTIFS(TBPS[Strand],$B74,TBPS[QET],M$11)&gt;0,$D74),TRUE,FALSE), IF(AND(teacher_type="TB",career_stage="HP"),IF(AND(COUNTIFS(TBHPS[Strand],$B74,TBHPS[QET],M$11)&gt;0,$D74),TRUE,FALSE),FALSE))))</f>
        <v>0</v>
      </c>
      <c r="N74" s="99" t="b">
        <f>IF(AND(teacher_type="R",career_stage="P"),IF(AND(COUNTIFS(RPS[Strand],$B74,RPS[QET],N$11)&gt;0,$D74),TRUE,FALSE),IF(AND(teacher_type="R",career_stage="HP"),IF(AND(COUNTIFS(RHPS[Strand],$B74,RHPS[QET],N$11)&gt;0,$D74),TRUE,FALSE), IF(AND(teacher_type="TB",career_stage="P"),IF(AND(COUNTIFS(TBPS[Strand],$B74,TBPS[QET],N$11)&gt;0,$D74),TRUE,FALSE), IF(AND(teacher_type="TB",career_stage="HP"),IF(AND(COUNTIFS(TBHPS[Strand],$B74,TBHPS[QET],N$11)&gt;0,$D74),TRUE,FALSE),FALSE))))</f>
        <v>0</v>
      </c>
      <c r="O74" s="99" t="b">
        <f>IF(AND(teacher_type="R",career_stage="P"),IF(AND(COUNTIFS(RPS[Strand],$B74,RPS[QET],O$11)&gt;0,$D74),TRUE,FALSE),IF(AND(teacher_type="R",career_stage="HP"),IF(AND(COUNTIFS(RHPS[Strand],$B74,RHPS[QET],O$11)&gt;0,$D74),TRUE,FALSE), IF(AND(teacher_type="TB",career_stage="P"),IF(AND(COUNTIFS(TBPS[Strand],$B74,TBPS[QET],O$11)&gt;0,$D74),TRUE,FALSE), IF(AND(teacher_type="TB",career_stage="HP"),IF(AND(COUNTIFS(TBHPS[Strand],$B74,TBHPS[QET],O$11)&gt;0,$D74),TRUE,FALSE),FALSE))))</f>
        <v>0</v>
      </c>
      <c r="P74" s="710"/>
      <c r="Q74" s="662"/>
      <c r="R74" s="663"/>
      <c r="S74" s="664"/>
      <c r="T74" s="678"/>
      <c r="U74" s="94" t="s">
        <v>1187</v>
      </c>
      <c r="V74" s="391" t="str">
        <f ca="1">IFERROR(IF($O74,IF(AND(career_stage="P",teacher_type="R"),INDEX(INDIRECT("RPS["&amp;V$10&amp;"]"),MATCH($H74,RPS[helper],0),1), IF(AND(career_stage="HP",teacher_type="R"), INDEX(INDIRECT("RHPS["&amp;V$10&amp;"]"),MATCH($H74,RHPS[helper],0),1), IF(AND(career_stage="P",teacher_type="TB"),INDEX(INDIRECT("TBPS["&amp;V$10&amp;"]"),MATCH($H74,TBPS[helper],0),1), IF(AND(career_stage="HP",teacher_type="TB"),INDEX(INDIRECT("TBHPS["&amp;V$10&amp;"]"),MATCH($H74,TBHPS[helper],0),1),"")))),""),"")</f>
        <v/>
      </c>
      <c r="W74" s="391" t="str">
        <f ca="1">IFERROR(IF($O74,IF(AND(career_stage="P",teacher_type="R"),INDEX(INDIRECT("RPS["&amp;W$10&amp;"]"),MATCH($H74,RPS[helper],0),1), IF(AND(career_stage="HP",teacher_type="R"), INDEX(INDIRECT("RHPS["&amp;W$10&amp;"]"),MATCH($H74,RHPS[helper],0),1), IF(AND(career_stage="P",teacher_type="TB"),INDEX(INDIRECT("TBPS["&amp;W$10&amp;"]"),MATCH($H74,TBPS[helper],0),1), IF(AND(career_stage="HP",teacher_type="TB"),INDEX(INDIRECT("TBHPS["&amp;W$10&amp;"]"),MATCH($H74,TBHPS[helper],0),1),"")))),""),"")</f>
        <v/>
      </c>
      <c r="X74" s="391" t="str">
        <f ca="1">IFERROR(IF($O74,IF(AND(career_stage="P",teacher_type="R"),INDEX(INDIRECT("RPS["&amp;X$10&amp;"]"),MATCH($H74,RPS[helper],0),1), IF(AND(career_stage="HP",teacher_type="R"), INDEX(INDIRECT("RHPS["&amp;X$10&amp;"]"),MATCH($H74,RHPS[helper],0),1), IF(AND(career_stage="P",teacher_type="TB"),INDEX(INDIRECT("TBPS["&amp;X$10&amp;"]"),MATCH($H74,TBPS[helper],0),1), IF(AND(career_stage="HP",teacher_type="TB"),INDEX(INDIRECT("TBHPS["&amp;X$10&amp;"]"),MATCH($H74,TBHPS[helper],0),1),"")))),""),"")</f>
        <v/>
      </c>
      <c r="Y74" s="391" t="str">
        <f ca="1">IFERROR(IF($O74,IF(AND(career_stage="P",teacher_type="R"),INDEX(INDIRECT("RPS["&amp;Y$10&amp;"]"),MATCH($H74,RPS[helper],0),1), IF(AND(career_stage="HP",teacher_type="R"), INDEX(INDIRECT("RHPS["&amp;Y$10&amp;"]"),MATCH($H74,RHPS[helper],0),1), IF(AND(career_stage="P",teacher_type="TB"),INDEX(INDIRECT("TBPS["&amp;Y$10&amp;"]"),MATCH($H74,TBPS[helper],0),1), IF(AND(career_stage="HP",teacher_type="TB"),INDEX(INDIRECT("TBHPS["&amp;Y$10&amp;"]"),MATCH($H74,TBHPS[helper],0),1),"")))),""),"")</f>
        <v/>
      </c>
      <c r="Z74" s="391" t="str">
        <f ca="1">IFERROR(IF($O74,IF(AND(career_stage="P",teacher_type="R"),INDEX(INDIRECT("RPS["&amp;Z$10&amp;"]"),MATCH($H74,RPS[helper],0),1), IF(AND(career_stage="HP",teacher_type="R"), INDEX(INDIRECT("RHPS["&amp;Z$10&amp;"]"),MATCH($H74,RHPS[helper],0),1), IF(AND(career_stage="P",teacher_type="TB"),INDEX(INDIRECT("TBPS["&amp;Z$10&amp;"]"),MATCH($H74,TBPS[helper],0),1), IF(AND(career_stage="HP",teacher_type="TB"),INDEX(INDIRECT("TBHPS["&amp;Z$10&amp;"]"),MATCH($H74,TBHPS[helper],0),1),"")))),""),"")</f>
        <v/>
      </c>
      <c r="AA74" s="391" t="str" cm="1">
        <f t="array" ref="AA74">IFERROR(INDEX(V74:Z74,6-AD72),"")</f>
        <v/>
      </c>
      <c r="AB74" s="680"/>
      <c r="AC74" s="680"/>
      <c r="AD74" s="680"/>
      <c r="AE74" s="682"/>
      <c r="AF74" s="661"/>
      <c r="AG74" s="5"/>
    </row>
    <row r="75" spans="1:33" hidden="1" x14ac:dyDescent="0.25">
      <c r="A75" s="92">
        <v>22</v>
      </c>
      <c r="B75" s="99" t="str" cm="1">
        <f t="array" ref="B75">IFERROR(IF(AND(teacher_type="R",career_stage="P"),INDEX(RPI[Strand],$A75),IF(AND(teacher_type="R",career_stage="HP"),INDEX(RHPI[Strand],$A75), IF(AND(teacher_type="TB",career_stage="P"),INDEX(TBPI[Strand],$A75), IF(AND(teacher_type="TB",career_stage="HP"),INDEX(TBHPI[Strand],$A75),0)))),0)</f>
        <v>4.4.2</v>
      </c>
      <c r="C75" s="99">
        <f>IFERROR(IF(AND(teacher_type="R",career_stage="P"),VLOOKUP($B75,RPI[[Strand]:[Domain]],COLUMNS(RPI[[Strand]:[Domain]]),FALSE), IF(AND(teacher_type="R",career_stage="HP"),VLOOKUP($B75,RHPI[[Strand]:[Domain]],COLUMNS(RHPI[[Strand]:[Domain]]),FALSE), IF(AND(teacher_type="TB",career_stage="P"),VLOOKUP($B75,TBPI[[Strand]:[Domain]],COLUMNS(TBPI[[Strand]:[Domain]]),FALSE), IF(AND(teacher_type="TB",career_stage="HP"),VLOOKUP($B75,TBHPI[[Strand]:[Domain]],COLUMNS(TBHPI[[Strand]:[Domain]]),FALSE),"")))),"")</f>
        <v>3</v>
      </c>
      <c r="D75" s="99" t="b">
        <f>IFERROR(IF(AND(career_stage="P",teacher_type="R"),VLOOKUP(B75,RPI[],COLUMNS(RPI[[Strand]:[Selected]]),FALSE), IF(AND(career_stage="HP",teacher_type="R"),VLOOKUP(B75,RHPI[],COLUMNS(RHPI[[Strand]:[Selected]]),FALSE), IF(AND(career_stage="P",teacher_type="TB"),VLOOKUP(B75,TBPI[],COLUMNS(TBPI[[Strand]:[Selected]]),FALSE), IF(AND(career_stage="HP",teacher_type="TB"),VLOOKUP(B75,TBHPI[],COLUMNS(TBHPI[[Strand]:[Selected]]),FALSE),FALSE)))),FALSE)</f>
        <v>0</v>
      </c>
      <c r="E75" s="92" t="b">
        <f>COUNTIFS($C$12:$C75,C75,$D$12:$D75,TRUE)=1</f>
        <v>0</v>
      </c>
      <c r="F75" s="92" t="b">
        <f>COUNTIFS($C$12:$C75,$C75,$B$12:$B75,$B75,$D$12:$D75,TRUE)=1</f>
        <v>0</v>
      </c>
      <c r="G75" s="99">
        <f>IF($F75,COUNTIFS($C$12:$C75,C75,$F$12:$F75,TRUE),0)</f>
        <v>0</v>
      </c>
      <c r="H75" s="99" t="str">
        <f t="shared" si="0"/>
        <v>4.4.2-Q</v>
      </c>
      <c r="I75" s="99">
        <f>IF(AND(D75,NOT($A75=$A74)),(COUNTIF($D$11:$D74,TRUE)/3)+1,0)</f>
        <v>0</v>
      </c>
      <c r="J75" s="99" t="s">
        <v>1012</v>
      </c>
      <c r="K75" s="99" t="b">
        <f>IF(AND(teacher_type="R",career_stage="P"),IF(AND(COUNTIFS(RPS[Strand],$B75,RPS[QET],$J75)&gt;0,$D75),TRUE,FALSE), IF(AND(teacher_type="R",career_stage="HP"),IF(AND(COUNTIFS(RHPS[Strand],$B75,RHPS[QET],$J75)&gt;0,$D75),TRUE,FALSE), IF(AND(teacher_type="TB",career_stage="P"),IF(AND(COUNTIFS(TBPS[Strand],$B75,TBPS[QET],$J75)&gt;0,$D75),TRUE,FALSE), IF(AND(teacher_type="TB",career_stage="HP"),IF(AND(COUNTIFS(TBHPS[Strand],$B75,TBHPS[QET],$J75)&gt;0,$D75),TRUE,FALSE),FALSE))))</f>
        <v>0</v>
      </c>
      <c r="L75" s="99" t="str">
        <f>IF($K75,IF(AND(teacher_type="R",career_stage="P"),VLOOKUP($B75,RPI[],COLUMNS(RPI[[Strand]:[user_selected_coi_ncoi]]),FALSE), IF(AND(teacher_type="R",career_stage="HP"),VLOOKUP($B75,RHPI[],COLUMNS(RHPI[[Strand]:[user_selected_coi_ncoi]]),FALSE), IF(AND(teacher_type="TB",career_stage="P"),VLOOKUP($B75,TBPI[],COLUMNS(TBPI[[Strand]:[user_selected_coi_ncoi]]),FALSE), IF(AND(teacher_type="TB",career_stage="HP"),VLOOKUP($B75,TBHPI[],COLUMNS(TBHPI[[Strand]:[user_selected_coi_ncoi]]),FALSE),"")))),"")</f>
        <v/>
      </c>
      <c r="M75" s="99" t="b">
        <f>IF(AND(teacher_type="R",career_stage="P"),IF(AND(COUNTIFS(RPS[Strand],$B75,RPS[QET],M$11)&gt;0,$D75),TRUE,FALSE),IF(AND(teacher_type="R",career_stage="HP"),IF(AND(COUNTIFS(RHPS[Strand],$B75,RHPS[QET],M$11)&gt;0,$D75),TRUE,FALSE), IF(AND(teacher_type="TB",career_stage="P"),IF(AND(COUNTIFS(TBPS[Strand],$B75,TBPS[QET],M$11)&gt;0,$D75),TRUE,FALSE), IF(AND(teacher_type="TB",career_stage="HP"),IF(AND(COUNTIFS(TBHPS[Strand],$B75,TBHPS[QET],M$11)&gt;0,$D75),TRUE,FALSE),FALSE))))</f>
        <v>0</v>
      </c>
      <c r="N75" s="99" t="b">
        <f>IF(AND(teacher_type="R",career_stage="P"),IF(AND(COUNTIFS(RPS[Strand],$B75,RPS[QET],N$11)&gt;0,$D75),TRUE,FALSE),IF(AND(teacher_type="R",career_stage="HP"),IF(AND(COUNTIFS(RHPS[Strand],$B75,RHPS[QET],N$11)&gt;0,$D75),TRUE,FALSE), IF(AND(teacher_type="TB",career_stage="P"),IF(AND(COUNTIFS(TBPS[Strand],$B75,TBPS[QET],N$11)&gt;0,$D75),TRUE,FALSE), IF(AND(teacher_type="TB",career_stage="HP"),IF(AND(COUNTIFS(TBHPS[Strand],$B75,TBHPS[QET],N$11)&gt;0,$D75),TRUE,FALSE),FALSE))))</f>
        <v>0</v>
      </c>
      <c r="O75" s="99" t="b">
        <f>IF(AND(teacher_type="R",career_stage="P"),IF(AND(COUNTIFS(RPS[Strand],$B75,RPS[QET],O$11)&gt;0,$D75),TRUE,FALSE),IF(AND(teacher_type="R",career_stage="HP"),IF(AND(COUNTIFS(RHPS[Strand],$B75,RHPS[QET],O$11)&gt;0,$D75),TRUE,FALSE), IF(AND(teacher_type="TB",career_stage="P"),IF(AND(COUNTIFS(TBPS[Strand],$B75,TBPS[QET],O$11)&gt;0,$D75),TRUE,FALSE), IF(AND(teacher_type="TB",career_stage="HP"),IF(AND(COUNTIFS(TBHPS[Strand],$B75,TBHPS[QET],O$11)&gt;0,$D75),TRUE,FALSE),FALSE))))</f>
        <v>0</v>
      </c>
      <c r="P75" s="710"/>
      <c r="Q75" s="662" t="str">
        <f>IFERROR(IF(E75,IF(C75="Plus Factor","Plus Factor",C75 &amp; ". " &amp; INDEX(Domains[Domain],MATCH(C75,Domains[Domain_code],0),1)),""),"")</f>
        <v/>
      </c>
      <c r="R75" s="663" t="str">
        <f>IFERROR(IF($F75,$I75 &amp; ". " &amp; IF(AND(career_stage="P",teacher_type="R"), INDEX(RPI[PPST Indicators],MATCH($B75,RPI[Strand],0),1), IF(AND(career_stage="HP",teacher_type="R"),INDEX(RHPI[PPST Indicators],MATCH($B75,RHPI[Strand],0),1), IF(AND(career_stage="P",teacher_type="TB"),INDEX(TBPI[PPST Indicators],MATCH($B75,TBPI[Strand],0),1), IF(AND(career_stage="HP",teacher_type="TB"),INDEX(TBHPI[PPST Indicators],MATCH($B75,TBHPI[Strand],0),1),"")))) &amp; IF(NOT(TRIM(LOWER($C75))="plus factor")," (PPST "&amp;B75&amp;")",""),""),"")</f>
        <v/>
      </c>
      <c r="S75" s="664" t="str" cm="1">
        <f t="array" ref="S75">demographics[rating_period]</f>
        <v>SY 2023-2024</v>
      </c>
      <c r="T75" s="678">
        <f>IFERROR(IF(AND(career_stage="P",teacher_type="R"),VLOOKUP(B75,RPI[],COLUMNS(RPI[[Strand]:[Weight]]),FALSE), IF(AND(career_stage="HP",teacher_type="R"),VLOOKUP(B75,RHPI[],COLUMNS(RHPI[[Strand]:[Weight]]),FALSE), IF(AND(career_stage="P",teacher_type="TB"),VLOOKUP(B75,TBPI[],COLUMNS(TBPI[[Strand]:[Weight]]),FALSE), IF(AND(career_stage="HP",teacher_type="TB"),VLOOKUP(B75,TBHPI[],COLUMNS(TBHPI[[Strand]:[Weight]]),FALSE),0)))),0)</f>
        <v>0</v>
      </c>
      <c r="U75" s="94" t="s">
        <v>1185</v>
      </c>
      <c r="V75" s="391" t="str">
        <f ca="1">IFERROR(IF($M75,IF(AND(career_stage="P",teacher_type="R"),INDEX(INDIRECT("RPS["&amp;V$10&amp;"]"),MATCH($H75,RPS[helper],0),1), IF(AND(career_stage="HP",teacher_type="R"), INDEX(INDIRECT("RHPS["&amp;V$10&amp;"]"),MATCH($H75,RHPS[helper],0),1), IF(AND(career_stage="P",teacher_type="TB"),INDEX(INDIRECT("TBPS["&amp;V$10&amp;"]"),MATCH($H75,TBPS[helper],0),1), IF(AND(career_stage="HP",teacher_type="TB"),INDEX(INDIRECT("TBHPS["&amp;V$10&amp;"]"),MATCH($H75,TBHPS[helper],0),1),"")))),""),"")</f>
        <v/>
      </c>
      <c r="W75" s="391" t="str">
        <f ca="1">IFERROR(IF($M75,IF(AND(career_stage="P",teacher_type="R"),INDEX(INDIRECT("RPS["&amp;W$10&amp;"]"),MATCH($H75,RPS[helper],0),1), IF(AND(career_stage="HP",teacher_type="R"), INDEX(INDIRECT("RHPS["&amp;W$10&amp;"]"),MATCH($H75,RHPS[helper],0),1), IF(AND(career_stage="P",teacher_type="TB"),INDEX(INDIRECT("TBPS["&amp;W$10&amp;"]"),MATCH($H75,TBPS[helper],0),1), IF(AND(career_stage="HP",teacher_type="TB"),INDEX(INDIRECT("TBHPS["&amp;W$10&amp;"]"),MATCH($H75,TBHPS[helper],0),1),"")))),""),"")</f>
        <v/>
      </c>
      <c r="X75" s="391" t="str">
        <f ca="1">IFERROR(IF($M75,IF(AND(career_stage="P",teacher_type="R"),INDEX(INDIRECT("RPS["&amp;X$10&amp;"]"),MATCH($H75,RPS[helper],0),1), IF(AND(career_stage="HP",teacher_type="R"), INDEX(INDIRECT("RHPS["&amp;X$10&amp;"]"),MATCH($H75,RHPS[helper],0),1), IF(AND(career_stage="P",teacher_type="TB"),INDEX(INDIRECT("TBPS["&amp;X$10&amp;"]"),MATCH($H75,TBPS[helper],0),1), IF(AND(career_stage="HP",teacher_type="TB"),INDEX(INDIRECT("TBHPS["&amp;X$10&amp;"]"),MATCH($H75,TBHPS[helper],0),1),"")))),""),"")</f>
        <v/>
      </c>
      <c r="Y75" s="391" t="str">
        <f ca="1">IFERROR(IF($M75,IF(AND(career_stage="P",teacher_type="R"),INDEX(INDIRECT("RPS["&amp;Y$10&amp;"]"),MATCH($H75,RPS[helper],0),1), IF(AND(career_stage="HP",teacher_type="R"), INDEX(INDIRECT("RHPS["&amp;Y$10&amp;"]"),MATCH($H75,RHPS[helper],0),1), IF(AND(career_stage="P",teacher_type="TB"),INDEX(INDIRECT("TBPS["&amp;Y$10&amp;"]"),MATCH($H75,TBPS[helper],0),1), IF(AND(career_stage="HP",teacher_type="TB"),INDEX(INDIRECT("TBHPS["&amp;Y$10&amp;"]"),MATCH($H75,TBHPS[helper],0),1),"")))),""),"")</f>
        <v/>
      </c>
      <c r="Z75" s="391" t="str">
        <f ca="1">IFERROR(IF($M75,IF(AND(career_stage="P",teacher_type="R"),INDEX(INDIRECT("RPS["&amp;Z$10&amp;"]"),MATCH($H75,RPS[helper],0),1), IF(AND(career_stage="HP",teacher_type="R"), INDEX(INDIRECT("RHPS["&amp;Z$10&amp;"]"),MATCH($H75,RHPS[helper],0),1), IF(AND(career_stage="P",teacher_type="TB"),INDEX(INDIRECT("TBPS["&amp;Z$10&amp;"]"),MATCH($H75,TBPS[helper],0),1), IF(AND(career_stage="HP",teacher_type="TB"),INDEX(INDIRECT("TBHPS["&amp;Z$10&amp;"]"),MATCH($H75,TBHPS[helper],0),1),"")))),""),"")</f>
        <v/>
      </c>
      <c r="AA75" s="392" t="str" cm="1">
        <f t="array" ref="AA75">IFERROR(INDEX(V75:Z75,6-AB75),"")</f>
        <v/>
      </c>
      <c r="AB75" s="680" t="str">
        <f>IF('Encoding Part 1'!AB43="","",'Encoding Part 1'!AB43)</f>
        <v/>
      </c>
      <c r="AC75" s="680" t="str">
        <f>IF('Encoding Part 1'!AC43="","",'Encoding Part 1'!AC43)</f>
        <v/>
      </c>
      <c r="AD75" s="680" t="str">
        <f>IF('Encoding Part 1'!AD43="","",'Encoding Part 1'!AD43)</f>
        <v/>
      </c>
      <c r="AE75" s="682">
        <f t="shared" ref="AE75" si="41">IFERROR(ROUNDDOWN(AVERAGE($AB75:$AD75),3),0)</f>
        <v>0</v>
      </c>
      <c r="AF75" s="661">
        <f t="shared" ref="AF75" si="42">ROUNDDOWN($AE75*$T75,3)</f>
        <v>0</v>
      </c>
      <c r="AG75" s="5"/>
    </row>
    <row r="76" spans="1:33" hidden="1" x14ac:dyDescent="0.25">
      <c r="A76" s="92">
        <v>22</v>
      </c>
      <c r="B76" s="99" t="str" cm="1">
        <f t="array" ref="B76">IFERROR(IF(AND(teacher_type="R",career_stage="P"),INDEX(RPI[Strand],$A76),IF(AND(teacher_type="R",career_stage="HP"),INDEX(RHPI[Strand],$A76), IF(AND(teacher_type="TB",career_stage="P"),INDEX(TBPI[Strand],$A76), IF(AND(teacher_type="TB",career_stage="HP"),INDEX(TBHPI[Strand],$A76),0)))),0)</f>
        <v>4.4.2</v>
      </c>
      <c r="C76" s="99">
        <f>IFERROR(IF(AND(teacher_type="R",career_stage="P"),VLOOKUP($B76,RPI[[Strand]:[Domain]],COLUMNS(RPI[[Strand]:[Domain]]),FALSE), IF(AND(teacher_type="R",career_stage="HP"),VLOOKUP($B76,RHPI[[Strand]:[Domain]],COLUMNS(RHPI[[Strand]:[Domain]]),FALSE), IF(AND(teacher_type="TB",career_stage="P"),VLOOKUP($B76,TBPI[[Strand]:[Domain]],COLUMNS(TBPI[[Strand]:[Domain]]),FALSE), IF(AND(teacher_type="TB",career_stage="HP"),VLOOKUP($B76,TBHPI[[Strand]:[Domain]],COLUMNS(TBHPI[[Strand]:[Domain]]),FALSE),"")))),"")</f>
        <v>3</v>
      </c>
      <c r="D76" s="99" t="b">
        <f>IFERROR(IF(AND(career_stage="P",teacher_type="R"),VLOOKUP(B76,RPI[],COLUMNS(RPI[[Strand]:[Selected]]),FALSE), IF(AND(career_stage="HP",teacher_type="R"),VLOOKUP(B76,RHPI[],COLUMNS(RHPI[[Strand]:[Selected]]),FALSE), IF(AND(career_stage="P",teacher_type="TB"),VLOOKUP(B76,TBPI[],COLUMNS(TBPI[[Strand]:[Selected]]),FALSE), IF(AND(career_stage="HP",teacher_type="TB"),VLOOKUP(B76,TBHPI[],COLUMNS(TBHPI[[Strand]:[Selected]]),FALSE),FALSE)))),FALSE)</f>
        <v>0</v>
      </c>
      <c r="E76" s="92" t="b">
        <f>COUNTIFS($C$12:$C76,C76,$D$12:$D76,TRUE)=1</f>
        <v>0</v>
      </c>
      <c r="F76" s="92" t="b">
        <f>COUNTIFS($C$12:$C76,$C76,$B$12:$B76,$B76,$D$12:$D76,TRUE)=1</f>
        <v>0</v>
      </c>
      <c r="G76" s="99">
        <f>IF($F76,COUNTIFS($C$12:$C76,C76,$F$12:$F76,TRUE),0)</f>
        <v>0</v>
      </c>
      <c r="H76" s="99" t="str">
        <f t="shared" si="0"/>
        <v>4.4.2-E</v>
      </c>
      <c r="I76" s="99">
        <f>IF(AND(D76,NOT($A76=$A75)),(COUNTIF($D$11:$D75,TRUE)/3)+1,0)</f>
        <v>0</v>
      </c>
      <c r="J76" s="99" t="s">
        <v>1073</v>
      </c>
      <c r="K76" s="99" t="b">
        <f>IF(AND(teacher_type="R",career_stage="P"),IF(AND(COUNTIFS(RPS[Strand],$B76,RPS[QET],$J76)&gt;0,$D76),TRUE,FALSE), IF(AND(teacher_type="R",career_stage="HP"),IF(AND(COUNTIFS(RHPS[Strand],$B76,RHPS[QET],$J76)&gt;0,$D76),TRUE,FALSE), IF(AND(teacher_type="TB",career_stage="P"),IF(AND(COUNTIFS(TBPS[Strand],$B76,TBPS[QET],$J76)&gt;0,$D76),TRUE,FALSE), IF(AND(teacher_type="TB",career_stage="HP"),IF(AND(COUNTIFS(TBHPS[Strand],$B76,TBHPS[QET],$J76)&gt;0,$D76),TRUE,FALSE),FALSE))))</f>
        <v>0</v>
      </c>
      <c r="L76" s="99" t="str">
        <f>IF($K76,IF(AND(teacher_type="R",career_stage="P"),VLOOKUP($B76,RPI[],COLUMNS(RPI[[Strand]:[user_selected_coi_ncoi]]),FALSE), IF(AND(teacher_type="R",career_stage="HP"),VLOOKUP($B76,RHPI[],COLUMNS(RHPI[[Strand]:[user_selected_coi_ncoi]]),FALSE), IF(AND(teacher_type="TB",career_stage="P"),VLOOKUP($B76,TBPI[],COLUMNS(TBPI[[Strand]:[user_selected_coi_ncoi]]),FALSE), IF(AND(teacher_type="TB",career_stage="HP"),VLOOKUP($B76,TBHPI[],COLUMNS(TBHPI[[Strand]:[user_selected_coi_ncoi]]),FALSE),"")))),"")</f>
        <v/>
      </c>
      <c r="M76" s="99" t="b">
        <f>IF(AND(teacher_type="R",career_stage="P"),IF(AND(COUNTIFS(RPS[Strand],$B76,RPS[QET],M$11)&gt;0,$D76),TRUE,FALSE),IF(AND(teacher_type="R",career_stage="HP"),IF(AND(COUNTIFS(RHPS[Strand],$B76,RHPS[QET],M$11)&gt;0,$D76),TRUE,FALSE), IF(AND(teacher_type="TB",career_stage="P"),IF(AND(COUNTIFS(TBPS[Strand],$B76,TBPS[QET],M$11)&gt;0,$D76),TRUE,FALSE), IF(AND(teacher_type="TB",career_stage="HP"),IF(AND(COUNTIFS(TBHPS[Strand],$B76,TBHPS[QET],M$11)&gt;0,$D76),TRUE,FALSE),FALSE))))</f>
        <v>0</v>
      </c>
      <c r="N76" s="99" t="b">
        <f>IF(AND(teacher_type="R",career_stage="P"),IF(AND(COUNTIFS(RPS[Strand],$B76,RPS[QET],N$11)&gt;0,$D76),TRUE,FALSE),IF(AND(teacher_type="R",career_stage="HP"),IF(AND(COUNTIFS(RHPS[Strand],$B76,RHPS[QET],N$11)&gt;0,$D76),TRUE,FALSE), IF(AND(teacher_type="TB",career_stage="P"),IF(AND(COUNTIFS(TBPS[Strand],$B76,TBPS[QET],N$11)&gt;0,$D76),TRUE,FALSE), IF(AND(teacher_type="TB",career_stage="HP"),IF(AND(COUNTIFS(TBHPS[Strand],$B76,TBHPS[QET],N$11)&gt;0,$D76),TRUE,FALSE),FALSE))))</f>
        <v>0</v>
      </c>
      <c r="O76" s="99" t="b">
        <f>IF(AND(teacher_type="R",career_stage="P"),IF(AND(COUNTIFS(RPS[Strand],$B76,RPS[QET],O$11)&gt;0,$D76),TRUE,FALSE),IF(AND(teacher_type="R",career_stage="HP"),IF(AND(COUNTIFS(RHPS[Strand],$B76,RHPS[QET],O$11)&gt;0,$D76),TRUE,FALSE), IF(AND(teacher_type="TB",career_stage="P"),IF(AND(COUNTIFS(TBPS[Strand],$B76,TBPS[QET],O$11)&gt;0,$D76),TRUE,FALSE), IF(AND(teacher_type="TB",career_stage="HP"),IF(AND(COUNTIFS(TBHPS[Strand],$B76,TBHPS[QET],O$11)&gt;0,$D76),TRUE,FALSE),FALSE))))</f>
        <v>0</v>
      </c>
      <c r="P76" s="710"/>
      <c r="Q76" s="662"/>
      <c r="R76" s="663"/>
      <c r="S76" s="664"/>
      <c r="T76" s="678"/>
      <c r="U76" s="94" t="s">
        <v>1186</v>
      </c>
      <c r="V76" s="391" t="str">
        <f ca="1">IFERROR(IF($N76,IF(AND(career_stage="P",teacher_type="R"),INDEX(INDIRECT("RPS["&amp;V$10&amp;"]"),MATCH($H76,RPS[helper],0),1), IF(AND(career_stage="HP",teacher_type="R"), INDEX(INDIRECT("RHPS["&amp;V$10&amp;"]"),MATCH($H76,RHPS[helper],0),1), IF(AND(career_stage="P",teacher_type="TB"),INDEX(INDIRECT("TBPS["&amp;V$10&amp;"]"),MATCH($H76,TBPS[helper],0),1), IF(AND(career_stage="HP",teacher_type="TB"),INDEX(INDIRECT("TBHPS["&amp;V$10&amp;"]"),MATCH($H76,TBHPS[helper],0),1),"")))),""),"")</f>
        <v/>
      </c>
      <c r="W76" s="391" t="str">
        <f ca="1">IFERROR(IF($N76,IF(AND(career_stage="P",teacher_type="R"),INDEX(INDIRECT("RPS["&amp;W$10&amp;"]"),MATCH($H76,RPS[helper],0),1), IF(AND(career_stage="HP",teacher_type="R"), INDEX(INDIRECT("RHPS["&amp;W$10&amp;"]"),MATCH($H76,RHPS[helper],0),1), IF(AND(career_stage="P",teacher_type="TB"),INDEX(INDIRECT("TBPS["&amp;W$10&amp;"]"),MATCH($H76,TBPS[helper],0),1), IF(AND(career_stage="HP",teacher_type="TB"),INDEX(INDIRECT("TBHPS["&amp;W$10&amp;"]"),MATCH($H76,TBHPS[helper],0),1),"")))),""),"")</f>
        <v/>
      </c>
      <c r="X76" s="391" t="str">
        <f ca="1">IFERROR(IF($N76,IF(AND(career_stage="P",teacher_type="R"),INDEX(INDIRECT("RPS["&amp;X$10&amp;"]"),MATCH($H76,RPS[helper],0),1), IF(AND(career_stage="HP",teacher_type="R"), INDEX(INDIRECT("RHPS["&amp;X$10&amp;"]"),MATCH($H76,RHPS[helper],0),1), IF(AND(career_stage="P",teacher_type="TB"),INDEX(INDIRECT("TBPS["&amp;X$10&amp;"]"),MATCH($H76,TBPS[helper],0),1), IF(AND(career_stage="HP",teacher_type="TB"),INDEX(INDIRECT("TBHPS["&amp;X$10&amp;"]"),MATCH($H76,TBHPS[helper],0),1),"")))),""),"")</f>
        <v/>
      </c>
      <c r="Y76" s="391" t="str">
        <f ca="1">IFERROR(IF($N76,IF(AND(career_stage="P",teacher_type="R"),INDEX(INDIRECT("RPS["&amp;Y$10&amp;"]"),MATCH($H76,RPS[helper],0),1), IF(AND(career_stage="HP",teacher_type="R"), INDEX(INDIRECT("RHPS["&amp;Y$10&amp;"]"),MATCH($H76,RHPS[helper],0),1), IF(AND(career_stage="P",teacher_type="TB"),INDEX(INDIRECT("TBPS["&amp;Y$10&amp;"]"),MATCH($H76,TBPS[helper],0),1), IF(AND(career_stage="HP",teacher_type="TB"),INDEX(INDIRECT("TBHPS["&amp;Y$10&amp;"]"),MATCH($H76,TBHPS[helper],0),1),"")))),""),"")</f>
        <v/>
      </c>
      <c r="Z76" s="391" t="str">
        <f ca="1">IFERROR(IF($N76,IF(AND(career_stage="P",teacher_type="R"),INDEX(INDIRECT("RPS["&amp;Z$10&amp;"]"),MATCH($H76,RPS[helper],0),1), IF(AND(career_stage="HP",teacher_type="R"), INDEX(INDIRECT("RHPS["&amp;Z$10&amp;"]"),MATCH($H76,RHPS[helper],0),1), IF(AND(career_stage="P",teacher_type="TB"),INDEX(INDIRECT("TBPS["&amp;Z$10&amp;"]"),MATCH($H76,TBPS[helper],0),1), IF(AND(career_stage="HP",teacher_type="TB"),INDEX(INDIRECT("TBHPS["&amp;Z$10&amp;"]"),MATCH($H76,TBHPS[helper],0),1),"")))),""),"")</f>
        <v/>
      </c>
      <c r="AA76" s="392" t="str" cm="1">
        <f t="array" ref="AA76">IFERROR(INDEX(V76:Z76,6-AC75),"")</f>
        <v/>
      </c>
      <c r="AB76" s="680"/>
      <c r="AC76" s="680"/>
      <c r="AD76" s="680"/>
      <c r="AE76" s="682"/>
      <c r="AF76" s="661"/>
      <c r="AG76" s="5"/>
    </row>
    <row r="77" spans="1:33" hidden="1" x14ac:dyDescent="0.25">
      <c r="A77" s="92">
        <v>22</v>
      </c>
      <c r="B77" s="99" t="str" cm="1">
        <f t="array" ref="B77">IFERROR(IF(AND(teacher_type="R",career_stage="P"),INDEX(RPI[Strand],$A77),IF(AND(teacher_type="R",career_stage="HP"),INDEX(RHPI[Strand],$A77), IF(AND(teacher_type="TB",career_stage="P"),INDEX(TBPI[Strand],$A77), IF(AND(teacher_type="TB",career_stage="HP"),INDEX(TBHPI[Strand],$A77),0)))),0)</f>
        <v>4.4.2</v>
      </c>
      <c r="C77" s="99">
        <f>IFERROR(IF(AND(teacher_type="R",career_stage="P"),VLOOKUP($B77,RPI[[Strand]:[Domain]],COLUMNS(RPI[[Strand]:[Domain]]),FALSE), IF(AND(teacher_type="R",career_stage="HP"),VLOOKUP($B77,RHPI[[Strand]:[Domain]],COLUMNS(RHPI[[Strand]:[Domain]]),FALSE), IF(AND(teacher_type="TB",career_stage="P"),VLOOKUP($B77,TBPI[[Strand]:[Domain]],COLUMNS(TBPI[[Strand]:[Domain]]),FALSE), IF(AND(teacher_type="TB",career_stage="HP"),VLOOKUP($B77,TBHPI[[Strand]:[Domain]],COLUMNS(TBHPI[[Strand]:[Domain]]),FALSE),"")))),"")</f>
        <v>3</v>
      </c>
      <c r="D77" s="99" t="b">
        <f>IFERROR(IF(AND(career_stage="P",teacher_type="R"),VLOOKUP(B77,RPI[],COLUMNS(RPI[[Strand]:[Selected]]),FALSE), IF(AND(career_stage="HP",teacher_type="R"),VLOOKUP(B77,RHPI[],COLUMNS(RHPI[[Strand]:[Selected]]),FALSE), IF(AND(career_stage="P",teacher_type="TB"),VLOOKUP(B77,TBPI[],COLUMNS(TBPI[[Strand]:[Selected]]),FALSE), IF(AND(career_stage="HP",teacher_type="TB"),VLOOKUP(B77,TBHPI[],COLUMNS(TBHPI[[Strand]:[Selected]]),FALSE),FALSE)))),FALSE)</f>
        <v>0</v>
      </c>
      <c r="E77" s="92" t="b">
        <f>COUNTIFS($C$12:$C77,C77,$D$12:$D77,TRUE)=1</f>
        <v>0</v>
      </c>
      <c r="F77" s="92" t="b">
        <f>COUNTIFS($C$12:$C77,$C77,$B$12:$B77,$B77,$D$12:$D77,TRUE)=1</f>
        <v>0</v>
      </c>
      <c r="G77" s="99">
        <f>IF($F77,COUNTIFS($C$12:$C77,C77,$F$12:$F77,TRUE),0)</f>
        <v>0</v>
      </c>
      <c r="H77" s="99" t="str">
        <f t="shared" ref="H77:H131" si="43">B77&amp;"-"&amp;J77 &amp; IF(NOT(L77=""),"-"&amp;L77,"")</f>
        <v>4.4.2-T</v>
      </c>
      <c r="I77" s="99">
        <f>IF(AND(D77,NOT($A77=$A76)),(COUNTIF($D$11:$D76,TRUE)/3)+1,0)</f>
        <v>0</v>
      </c>
      <c r="J77" s="99" t="s">
        <v>1014</v>
      </c>
      <c r="K77" s="99" t="b">
        <f>IF(AND(teacher_type="R",career_stage="P"),IF(AND(COUNTIFS(RPS[Strand],$B77,RPS[QET],$J77)&gt;0,$D77),TRUE,FALSE), IF(AND(teacher_type="R",career_stage="HP"),IF(AND(COUNTIFS(RHPS[Strand],$B77,RHPS[QET],$J77)&gt;0,$D77),TRUE,FALSE), IF(AND(teacher_type="TB",career_stage="P"),IF(AND(COUNTIFS(TBPS[Strand],$B77,TBPS[QET],$J77)&gt;0,$D77),TRUE,FALSE), IF(AND(teacher_type="TB",career_stage="HP"),IF(AND(COUNTIFS(TBHPS[Strand],$B77,TBHPS[QET],$J77)&gt;0,$D77),TRUE,FALSE),FALSE))))</f>
        <v>0</v>
      </c>
      <c r="L77" s="99" t="str">
        <f>IF($K77,IF(AND(teacher_type="R",career_stage="P"),VLOOKUP($B77,RPI[],COLUMNS(RPI[[Strand]:[user_selected_coi_ncoi]]),FALSE), IF(AND(teacher_type="R",career_stage="HP"),VLOOKUP($B77,RHPI[],COLUMNS(RHPI[[Strand]:[user_selected_coi_ncoi]]),FALSE), IF(AND(teacher_type="TB",career_stage="P"),VLOOKUP($B77,TBPI[],COLUMNS(TBPI[[Strand]:[user_selected_coi_ncoi]]),FALSE), IF(AND(teacher_type="TB",career_stage="HP"),VLOOKUP($B77,TBHPI[],COLUMNS(TBHPI[[Strand]:[user_selected_coi_ncoi]]),FALSE),"")))),"")</f>
        <v/>
      </c>
      <c r="M77" s="99" t="b">
        <f>IF(AND(teacher_type="R",career_stage="P"),IF(AND(COUNTIFS(RPS[Strand],$B77,RPS[QET],M$11)&gt;0,$D77),TRUE,FALSE),IF(AND(teacher_type="R",career_stage="HP"),IF(AND(COUNTIFS(RHPS[Strand],$B77,RHPS[QET],M$11)&gt;0,$D77),TRUE,FALSE), IF(AND(teacher_type="TB",career_stage="P"),IF(AND(COUNTIFS(TBPS[Strand],$B77,TBPS[QET],M$11)&gt;0,$D77),TRUE,FALSE), IF(AND(teacher_type="TB",career_stage="HP"),IF(AND(COUNTIFS(TBHPS[Strand],$B77,TBHPS[QET],M$11)&gt;0,$D77),TRUE,FALSE),FALSE))))</f>
        <v>0</v>
      </c>
      <c r="N77" s="99" t="b">
        <f>IF(AND(teacher_type="R",career_stage="P"),IF(AND(COUNTIFS(RPS[Strand],$B77,RPS[QET],N$11)&gt;0,$D77),TRUE,FALSE),IF(AND(teacher_type="R",career_stage="HP"),IF(AND(COUNTIFS(RHPS[Strand],$B77,RHPS[QET],N$11)&gt;0,$D77),TRUE,FALSE), IF(AND(teacher_type="TB",career_stage="P"),IF(AND(COUNTIFS(TBPS[Strand],$B77,TBPS[QET],N$11)&gt;0,$D77),TRUE,FALSE), IF(AND(teacher_type="TB",career_stage="HP"),IF(AND(COUNTIFS(TBHPS[Strand],$B77,TBHPS[QET],N$11)&gt;0,$D77),TRUE,FALSE),FALSE))))</f>
        <v>0</v>
      </c>
      <c r="O77" s="99" t="b">
        <f>IF(AND(teacher_type="R",career_stage="P"),IF(AND(COUNTIFS(RPS[Strand],$B77,RPS[QET],O$11)&gt;0,$D77),TRUE,FALSE),IF(AND(teacher_type="R",career_stage="HP"),IF(AND(COUNTIFS(RHPS[Strand],$B77,RHPS[QET],O$11)&gt;0,$D77),TRUE,FALSE), IF(AND(teacher_type="TB",career_stage="P"),IF(AND(COUNTIFS(TBPS[Strand],$B77,TBPS[QET],O$11)&gt;0,$D77),TRUE,FALSE), IF(AND(teacher_type="TB",career_stage="HP"),IF(AND(COUNTIFS(TBHPS[Strand],$B77,TBHPS[QET],O$11)&gt;0,$D77),TRUE,FALSE),FALSE))))</f>
        <v>0</v>
      </c>
      <c r="P77" s="710"/>
      <c r="Q77" s="662"/>
      <c r="R77" s="663"/>
      <c r="S77" s="664"/>
      <c r="T77" s="678"/>
      <c r="U77" s="94" t="s">
        <v>1187</v>
      </c>
      <c r="V77" s="391" t="str">
        <f ca="1">IFERROR(IF($O77,IF(AND(career_stage="P",teacher_type="R"),INDEX(INDIRECT("RPS["&amp;V$10&amp;"]"),MATCH($H77,RPS[helper],0),1), IF(AND(career_stage="HP",teacher_type="R"), INDEX(INDIRECT("RHPS["&amp;V$10&amp;"]"),MATCH($H77,RHPS[helper],0),1), IF(AND(career_stage="P",teacher_type="TB"),INDEX(INDIRECT("TBPS["&amp;V$10&amp;"]"),MATCH($H77,TBPS[helper],0),1), IF(AND(career_stage="HP",teacher_type="TB"),INDEX(INDIRECT("TBHPS["&amp;V$10&amp;"]"),MATCH($H77,TBHPS[helper],0),1),"")))),""),"")</f>
        <v/>
      </c>
      <c r="W77" s="391" t="str">
        <f ca="1">IFERROR(IF($O77,IF(AND(career_stage="P",teacher_type="R"),INDEX(INDIRECT("RPS["&amp;W$10&amp;"]"),MATCH($H77,RPS[helper],0),1), IF(AND(career_stage="HP",teacher_type="R"), INDEX(INDIRECT("RHPS["&amp;W$10&amp;"]"),MATCH($H77,RHPS[helper],0),1), IF(AND(career_stage="P",teacher_type="TB"),INDEX(INDIRECT("TBPS["&amp;W$10&amp;"]"),MATCH($H77,TBPS[helper],0),1), IF(AND(career_stage="HP",teacher_type="TB"),INDEX(INDIRECT("TBHPS["&amp;W$10&amp;"]"),MATCH($H77,TBHPS[helper],0),1),"")))),""),"")</f>
        <v/>
      </c>
      <c r="X77" s="391" t="str">
        <f ca="1">IFERROR(IF($O77,IF(AND(career_stage="P",teacher_type="R"),INDEX(INDIRECT("RPS["&amp;X$10&amp;"]"),MATCH($H77,RPS[helper],0),1), IF(AND(career_stage="HP",teacher_type="R"), INDEX(INDIRECT("RHPS["&amp;X$10&amp;"]"),MATCH($H77,RHPS[helper],0),1), IF(AND(career_stage="P",teacher_type="TB"),INDEX(INDIRECT("TBPS["&amp;X$10&amp;"]"),MATCH($H77,TBPS[helper],0),1), IF(AND(career_stage="HP",teacher_type="TB"),INDEX(INDIRECT("TBHPS["&amp;X$10&amp;"]"),MATCH($H77,TBHPS[helper],0),1),"")))),""),"")</f>
        <v/>
      </c>
      <c r="Y77" s="391" t="str">
        <f ca="1">IFERROR(IF($O77,IF(AND(career_stage="P",teacher_type="R"),INDEX(INDIRECT("RPS["&amp;Y$10&amp;"]"),MATCH($H77,RPS[helper],0),1), IF(AND(career_stage="HP",teacher_type="R"), INDEX(INDIRECT("RHPS["&amp;Y$10&amp;"]"),MATCH($H77,RHPS[helper],0),1), IF(AND(career_stage="P",teacher_type="TB"),INDEX(INDIRECT("TBPS["&amp;Y$10&amp;"]"),MATCH($H77,TBPS[helper],0),1), IF(AND(career_stage="HP",teacher_type="TB"),INDEX(INDIRECT("TBHPS["&amp;Y$10&amp;"]"),MATCH($H77,TBHPS[helper],0),1),"")))),""),"")</f>
        <v/>
      </c>
      <c r="Z77" s="391" t="str">
        <f ca="1">IFERROR(IF($O77,IF(AND(career_stage="P",teacher_type="R"),INDEX(INDIRECT("RPS["&amp;Z$10&amp;"]"),MATCH($H77,RPS[helper],0),1), IF(AND(career_stage="HP",teacher_type="R"), INDEX(INDIRECT("RHPS["&amp;Z$10&amp;"]"),MATCH($H77,RHPS[helper],0),1), IF(AND(career_stage="P",teacher_type="TB"),INDEX(INDIRECT("TBPS["&amp;Z$10&amp;"]"),MATCH($H77,TBPS[helper],0),1), IF(AND(career_stage="HP",teacher_type="TB"),INDEX(INDIRECT("TBHPS["&amp;Z$10&amp;"]"),MATCH($H77,TBHPS[helper],0),1),"")))),""),"")</f>
        <v/>
      </c>
      <c r="AA77" s="391" t="str" cm="1">
        <f t="array" ref="AA77">IFERROR(INDEX(V77:Z77,6-AD75),"")</f>
        <v/>
      </c>
      <c r="AB77" s="680"/>
      <c r="AC77" s="680"/>
      <c r="AD77" s="680"/>
      <c r="AE77" s="682"/>
      <c r="AF77" s="661"/>
      <c r="AG77" s="5"/>
    </row>
    <row r="78" spans="1:33" hidden="1" x14ac:dyDescent="0.25">
      <c r="A78" s="92">
        <v>23</v>
      </c>
      <c r="B78" s="99" t="str" cm="1">
        <f t="array" ref="B78">IFERROR(IF(AND(teacher_type="R",career_stage="P"),INDEX(RPI[Strand],$A78),IF(AND(teacher_type="R",career_stage="HP"),INDEX(RHPI[Strand],$A78), IF(AND(teacher_type="TB",career_stage="P"),INDEX(TBPI[Strand],$A78), IF(AND(teacher_type="TB",career_stage="HP"),INDEX(TBHPI[Strand],$A78),0)))),0)</f>
        <v>4.5.2</v>
      </c>
      <c r="C78" s="99">
        <f>IFERROR(IF(AND(teacher_type="R",career_stage="P"),VLOOKUP($B78,RPI[[Strand]:[Domain]],COLUMNS(RPI[[Strand]:[Domain]]),FALSE), IF(AND(teacher_type="R",career_stage="HP"),VLOOKUP($B78,RHPI[[Strand]:[Domain]],COLUMNS(RHPI[[Strand]:[Domain]]),FALSE), IF(AND(teacher_type="TB",career_stage="P"),VLOOKUP($B78,TBPI[[Strand]:[Domain]],COLUMNS(TBPI[[Strand]:[Domain]]),FALSE), IF(AND(teacher_type="TB",career_stage="HP"),VLOOKUP($B78,TBHPI[[Strand]:[Domain]],COLUMNS(TBHPI[[Strand]:[Domain]]),FALSE),"")))),"")</f>
        <v>3</v>
      </c>
      <c r="D78" s="99" t="b">
        <f>IFERROR(IF(AND(career_stage="P",teacher_type="R"),VLOOKUP(B78,RPI[],COLUMNS(RPI[[Strand]:[Selected]]),FALSE), IF(AND(career_stage="HP",teacher_type="R"),VLOOKUP(B78,RHPI[],COLUMNS(RHPI[[Strand]:[Selected]]),FALSE), IF(AND(career_stage="P",teacher_type="TB"),VLOOKUP(B78,TBPI[],COLUMNS(TBPI[[Strand]:[Selected]]),FALSE), IF(AND(career_stage="HP",teacher_type="TB"),VLOOKUP(B78,TBHPI[],COLUMNS(TBHPI[[Strand]:[Selected]]),FALSE),FALSE)))),FALSE)</f>
        <v>0</v>
      </c>
      <c r="E78" s="92" t="b">
        <f>COUNTIFS($C$12:$C78,C78,$D$12:$D78,TRUE)=1</f>
        <v>0</v>
      </c>
      <c r="F78" s="92" t="b">
        <f>COUNTIFS($C$12:$C78,$C78,$B$12:$B78,$B78,$D$12:$D78,TRUE)=1</f>
        <v>0</v>
      </c>
      <c r="G78" s="99">
        <f>IF($F78,COUNTIFS($C$12:$C78,C78,$F$12:$F78,TRUE),0)</f>
        <v>0</v>
      </c>
      <c r="H78" s="99" t="str">
        <f t="shared" si="43"/>
        <v>4.5.2-Q</v>
      </c>
      <c r="I78" s="99">
        <f>IF(AND(D78,NOT($A78=$A77)),(COUNTIF($D$11:$D77,TRUE)/3)+1,0)</f>
        <v>0</v>
      </c>
      <c r="J78" s="99" t="s">
        <v>1012</v>
      </c>
      <c r="K78" s="99" t="b">
        <f>IF(AND(teacher_type="R",career_stage="P"),IF(AND(COUNTIFS(RPS[Strand],$B78,RPS[QET],$J78)&gt;0,$D78),TRUE,FALSE), IF(AND(teacher_type="R",career_stage="HP"),IF(AND(COUNTIFS(RHPS[Strand],$B78,RHPS[QET],$J78)&gt;0,$D78),TRUE,FALSE), IF(AND(teacher_type="TB",career_stage="P"),IF(AND(COUNTIFS(TBPS[Strand],$B78,TBPS[QET],$J78)&gt;0,$D78),TRUE,FALSE), IF(AND(teacher_type="TB",career_stage="HP"),IF(AND(COUNTIFS(TBHPS[Strand],$B78,TBHPS[QET],$J78)&gt;0,$D78),TRUE,FALSE),FALSE))))</f>
        <v>0</v>
      </c>
      <c r="L78" s="99" t="str">
        <f>IF($K78,IF(AND(teacher_type="R",career_stage="P"),VLOOKUP($B78,RPI[],COLUMNS(RPI[[Strand]:[user_selected_coi_ncoi]]),FALSE), IF(AND(teacher_type="R",career_stage="HP"),VLOOKUP($B78,RHPI[],COLUMNS(RHPI[[Strand]:[user_selected_coi_ncoi]]),FALSE), IF(AND(teacher_type="TB",career_stage="P"),VLOOKUP($B78,TBPI[],COLUMNS(TBPI[[Strand]:[user_selected_coi_ncoi]]),FALSE), IF(AND(teacher_type="TB",career_stage="HP"),VLOOKUP($B78,TBHPI[],COLUMNS(TBHPI[[Strand]:[user_selected_coi_ncoi]]),FALSE),"")))),"")</f>
        <v/>
      </c>
      <c r="M78" s="99" t="b">
        <f>IF(AND(teacher_type="R",career_stage="P"),IF(AND(COUNTIFS(RPS[Strand],$B78,RPS[QET],M$11)&gt;0,$D78),TRUE,FALSE),IF(AND(teacher_type="R",career_stage="HP"),IF(AND(COUNTIFS(RHPS[Strand],$B78,RHPS[QET],M$11)&gt;0,$D78),TRUE,FALSE), IF(AND(teacher_type="TB",career_stage="P"),IF(AND(COUNTIFS(TBPS[Strand],$B78,TBPS[QET],M$11)&gt;0,$D78),TRUE,FALSE), IF(AND(teacher_type="TB",career_stage="HP"),IF(AND(COUNTIFS(TBHPS[Strand],$B78,TBHPS[QET],M$11)&gt;0,$D78),TRUE,FALSE),FALSE))))</f>
        <v>0</v>
      </c>
      <c r="N78" s="99" t="b">
        <f>IF(AND(teacher_type="R",career_stage="P"),IF(AND(COUNTIFS(RPS[Strand],$B78,RPS[QET],N$11)&gt;0,$D78),TRUE,FALSE),IF(AND(teacher_type="R",career_stage="HP"),IF(AND(COUNTIFS(RHPS[Strand],$B78,RHPS[QET],N$11)&gt;0,$D78),TRUE,FALSE), IF(AND(teacher_type="TB",career_stage="P"),IF(AND(COUNTIFS(TBPS[Strand],$B78,TBPS[QET],N$11)&gt;0,$D78),TRUE,FALSE), IF(AND(teacher_type="TB",career_stage="HP"),IF(AND(COUNTIFS(TBHPS[Strand],$B78,TBHPS[QET],N$11)&gt;0,$D78),TRUE,FALSE),FALSE))))</f>
        <v>0</v>
      </c>
      <c r="O78" s="99" t="b">
        <f>IF(AND(teacher_type="R",career_stage="P"),IF(AND(COUNTIFS(RPS[Strand],$B78,RPS[QET],O$11)&gt;0,$D78),TRUE,FALSE),IF(AND(teacher_type="R",career_stage="HP"),IF(AND(COUNTIFS(RHPS[Strand],$B78,RHPS[QET],O$11)&gt;0,$D78),TRUE,FALSE), IF(AND(teacher_type="TB",career_stage="P"),IF(AND(COUNTIFS(TBPS[Strand],$B78,TBPS[QET],O$11)&gt;0,$D78),TRUE,FALSE), IF(AND(teacher_type="TB",career_stage="HP"),IF(AND(COUNTIFS(TBHPS[Strand],$B78,TBHPS[QET],O$11)&gt;0,$D78),TRUE,FALSE),FALSE))))</f>
        <v>0</v>
      </c>
      <c r="P78" s="710"/>
      <c r="Q78" s="662" t="str">
        <f>IFERROR(IF(E78,IF(C78="Plus Factor","Plus Factor",C78 &amp; ". " &amp; INDEX(Domains[Domain],MATCH(C78,Domains[Domain_code],0),1)),""),"")</f>
        <v/>
      </c>
      <c r="R78" s="663" t="str">
        <f>IFERROR(IF($F78,$I78 &amp; ". " &amp; IF(AND(career_stage="P",teacher_type="R"), INDEX(RPI[PPST Indicators],MATCH($B78,RPI[Strand],0),1), IF(AND(career_stage="HP",teacher_type="R"),INDEX(RHPI[PPST Indicators],MATCH($B78,RHPI[Strand],0),1), IF(AND(career_stage="P",teacher_type="TB"),INDEX(TBPI[PPST Indicators],MATCH($B78,TBPI[Strand],0),1), IF(AND(career_stage="HP",teacher_type="TB"),INDEX(TBHPI[PPST Indicators],MATCH($B78,TBHPI[Strand],0),1),"")))) &amp; IF(NOT(TRIM(LOWER($C78))="plus factor")," (PPST "&amp;B78&amp;")",""),""),"")</f>
        <v/>
      </c>
      <c r="S78" s="664" t="str" cm="1">
        <f t="array" ref="S78">demographics[rating_period]</f>
        <v>SY 2023-2024</v>
      </c>
      <c r="T78" s="678">
        <f>IFERROR(IF(AND(career_stage="P",teacher_type="R"),VLOOKUP(B78,RPI[],COLUMNS(RPI[[Strand]:[Weight]]),FALSE), IF(AND(career_stage="HP",teacher_type="R"),VLOOKUP(B78,RHPI[],COLUMNS(RHPI[[Strand]:[Weight]]),FALSE), IF(AND(career_stage="P",teacher_type="TB"),VLOOKUP(B78,TBPI[],COLUMNS(TBPI[[Strand]:[Weight]]),FALSE), IF(AND(career_stage="HP",teacher_type="TB"),VLOOKUP(B78,TBHPI[],COLUMNS(TBHPI[[Strand]:[Weight]]),FALSE),0)))),0)</f>
        <v>0</v>
      </c>
      <c r="U78" s="94" t="s">
        <v>1185</v>
      </c>
      <c r="V78" s="391" t="str">
        <f ca="1">IFERROR(IF($M78,IF(AND(career_stage="P",teacher_type="R"),INDEX(INDIRECT("RPS["&amp;V$10&amp;"]"),MATCH($H78,RPS[helper],0),1), IF(AND(career_stage="HP",teacher_type="R"), INDEX(INDIRECT("RHPS["&amp;V$10&amp;"]"),MATCH($H78,RHPS[helper],0),1), IF(AND(career_stage="P",teacher_type="TB"),INDEX(INDIRECT("TBPS["&amp;V$10&amp;"]"),MATCH($H78,TBPS[helper],0),1), IF(AND(career_stage="HP",teacher_type="TB"),INDEX(INDIRECT("TBHPS["&amp;V$10&amp;"]"),MATCH($H78,TBHPS[helper],0),1),"")))),""),"")</f>
        <v/>
      </c>
      <c r="W78" s="391" t="str">
        <f ca="1">IFERROR(IF($M78,IF(AND(career_stage="P",teacher_type="R"),INDEX(INDIRECT("RPS["&amp;W$10&amp;"]"),MATCH($H78,RPS[helper],0),1), IF(AND(career_stage="HP",teacher_type="R"), INDEX(INDIRECT("RHPS["&amp;W$10&amp;"]"),MATCH($H78,RHPS[helper],0),1), IF(AND(career_stage="P",teacher_type="TB"),INDEX(INDIRECT("TBPS["&amp;W$10&amp;"]"),MATCH($H78,TBPS[helper],0),1), IF(AND(career_stage="HP",teacher_type="TB"),INDEX(INDIRECT("TBHPS["&amp;W$10&amp;"]"),MATCH($H78,TBHPS[helper],0),1),"")))),""),"")</f>
        <v/>
      </c>
      <c r="X78" s="391" t="str">
        <f ca="1">IFERROR(IF($M78,IF(AND(career_stage="P",teacher_type="R"),INDEX(INDIRECT("RPS["&amp;X$10&amp;"]"),MATCH($H78,RPS[helper],0),1), IF(AND(career_stage="HP",teacher_type="R"), INDEX(INDIRECT("RHPS["&amp;X$10&amp;"]"),MATCH($H78,RHPS[helper],0),1), IF(AND(career_stage="P",teacher_type="TB"),INDEX(INDIRECT("TBPS["&amp;X$10&amp;"]"),MATCH($H78,TBPS[helper],0),1), IF(AND(career_stage="HP",teacher_type="TB"),INDEX(INDIRECT("TBHPS["&amp;X$10&amp;"]"),MATCH($H78,TBHPS[helper],0),1),"")))),""),"")</f>
        <v/>
      </c>
      <c r="Y78" s="391" t="str">
        <f ca="1">IFERROR(IF($M78,IF(AND(career_stage="P",teacher_type="R"),INDEX(INDIRECT("RPS["&amp;Y$10&amp;"]"),MATCH($H78,RPS[helper],0),1), IF(AND(career_stage="HP",teacher_type="R"), INDEX(INDIRECT("RHPS["&amp;Y$10&amp;"]"),MATCH($H78,RHPS[helper],0),1), IF(AND(career_stage="P",teacher_type="TB"),INDEX(INDIRECT("TBPS["&amp;Y$10&amp;"]"),MATCH($H78,TBPS[helper],0),1), IF(AND(career_stage="HP",teacher_type="TB"),INDEX(INDIRECT("TBHPS["&amp;Y$10&amp;"]"),MATCH($H78,TBHPS[helper],0),1),"")))),""),"")</f>
        <v/>
      </c>
      <c r="Z78" s="391" t="str">
        <f ca="1">IFERROR(IF($M78,IF(AND(career_stage="P",teacher_type="R"),INDEX(INDIRECT("RPS["&amp;Z$10&amp;"]"),MATCH($H78,RPS[helper],0),1), IF(AND(career_stage="HP",teacher_type="R"), INDEX(INDIRECT("RHPS["&amp;Z$10&amp;"]"),MATCH($H78,RHPS[helper],0),1), IF(AND(career_stage="P",teacher_type="TB"),INDEX(INDIRECT("TBPS["&amp;Z$10&amp;"]"),MATCH($H78,TBPS[helper],0),1), IF(AND(career_stage="HP",teacher_type="TB"),INDEX(INDIRECT("TBHPS["&amp;Z$10&amp;"]"),MATCH($H78,TBHPS[helper],0),1),"")))),""),"")</f>
        <v/>
      </c>
      <c r="AA78" s="392" t="str" cm="1">
        <f t="array" ref="AA78">IFERROR(INDEX(V78:Z78,6-AB78),"")</f>
        <v/>
      </c>
      <c r="AB78" s="680" t="str">
        <f>IF('Encoding Part 1'!AB44="","",'Encoding Part 1'!AB44)</f>
        <v/>
      </c>
      <c r="AC78" s="680" t="str">
        <f>IF('Encoding Part 1'!AC44="","",'Encoding Part 1'!AC44)</f>
        <v/>
      </c>
      <c r="AD78" s="680" t="str">
        <f>IF('Encoding Part 1'!AD44="","",'Encoding Part 1'!AD44)</f>
        <v/>
      </c>
      <c r="AE78" s="682">
        <f t="shared" ref="AE78" si="44">IFERROR(ROUNDDOWN(AVERAGE($AB78:$AD78),3),0)</f>
        <v>0</v>
      </c>
      <c r="AF78" s="661">
        <f t="shared" ref="AF78" si="45">ROUNDDOWN($AE78*$T78,3)</f>
        <v>0</v>
      </c>
      <c r="AG78" s="5"/>
    </row>
    <row r="79" spans="1:33" hidden="1" x14ac:dyDescent="0.25">
      <c r="A79" s="92">
        <v>23</v>
      </c>
      <c r="B79" s="99" t="str" cm="1">
        <f t="array" ref="B79">IFERROR(IF(AND(teacher_type="R",career_stage="P"),INDEX(RPI[Strand],$A79),IF(AND(teacher_type="R",career_stage="HP"),INDEX(RHPI[Strand],$A79), IF(AND(teacher_type="TB",career_stage="P"),INDEX(TBPI[Strand],$A79), IF(AND(teacher_type="TB",career_stage="HP"),INDEX(TBHPI[Strand],$A79),0)))),0)</f>
        <v>4.5.2</v>
      </c>
      <c r="C79" s="99">
        <f>IFERROR(IF(AND(teacher_type="R",career_stage="P"),VLOOKUP($B79,RPI[[Strand]:[Domain]],COLUMNS(RPI[[Strand]:[Domain]]),FALSE), IF(AND(teacher_type="R",career_stage="HP"),VLOOKUP($B79,RHPI[[Strand]:[Domain]],COLUMNS(RHPI[[Strand]:[Domain]]),FALSE), IF(AND(teacher_type="TB",career_stage="P"),VLOOKUP($B79,TBPI[[Strand]:[Domain]],COLUMNS(TBPI[[Strand]:[Domain]]),FALSE), IF(AND(teacher_type="TB",career_stage="HP"),VLOOKUP($B79,TBHPI[[Strand]:[Domain]],COLUMNS(TBHPI[[Strand]:[Domain]]),FALSE),"")))),"")</f>
        <v>3</v>
      </c>
      <c r="D79" s="99" t="b">
        <f>IFERROR(IF(AND(career_stage="P",teacher_type="R"),VLOOKUP(B79,RPI[],COLUMNS(RPI[[Strand]:[Selected]]),FALSE), IF(AND(career_stage="HP",teacher_type="R"),VLOOKUP(B79,RHPI[],COLUMNS(RHPI[[Strand]:[Selected]]),FALSE), IF(AND(career_stage="P",teacher_type="TB"),VLOOKUP(B79,TBPI[],COLUMNS(TBPI[[Strand]:[Selected]]),FALSE), IF(AND(career_stage="HP",teacher_type="TB"),VLOOKUP(B79,TBHPI[],COLUMNS(TBHPI[[Strand]:[Selected]]),FALSE),FALSE)))),FALSE)</f>
        <v>0</v>
      </c>
      <c r="E79" s="92" t="b">
        <f>COUNTIFS($C$12:$C79,C79,$D$12:$D79,TRUE)=1</f>
        <v>0</v>
      </c>
      <c r="F79" s="92" t="b">
        <f>COUNTIFS($C$12:$C79,$C79,$B$12:$B79,$B79,$D$12:$D79,TRUE)=1</f>
        <v>0</v>
      </c>
      <c r="G79" s="99">
        <f>IF($F79,COUNTIFS($C$12:$C79,C79,$F$12:$F79,TRUE),0)</f>
        <v>0</v>
      </c>
      <c r="H79" s="99" t="str">
        <f t="shared" si="43"/>
        <v>4.5.2-E</v>
      </c>
      <c r="I79" s="99">
        <f>IF(AND(D79,NOT($A79=$A78)),(COUNTIF($D$11:$D78,TRUE)/3)+1,0)</f>
        <v>0</v>
      </c>
      <c r="J79" s="99" t="s">
        <v>1073</v>
      </c>
      <c r="K79" s="99" t="b">
        <f>IF(AND(teacher_type="R",career_stage="P"),IF(AND(COUNTIFS(RPS[Strand],$B79,RPS[QET],$J79)&gt;0,$D79),TRUE,FALSE), IF(AND(teacher_type="R",career_stage="HP"),IF(AND(COUNTIFS(RHPS[Strand],$B79,RHPS[QET],$J79)&gt;0,$D79),TRUE,FALSE), IF(AND(teacher_type="TB",career_stage="P"),IF(AND(COUNTIFS(TBPS[Strand],$B79,TBPS[QET],$J79)&gt;0,$D79),TRUE,FALSE), IF(AND(teacher_type="TB",career_stage="HP"),IF(AND(COUNTIFS(TBHPS[Strand],$B79,TBHPS[QET],$J79)&gt;0,$D79),TRUE,FALSE),FALSE))))</f>
        <v>0</v>
      </c>
      <c r="L79" s="99" t="str">
        <f>IF($K79,IF(AND(teacher_type="R",career_stage="P"),VLOOKUP($B79,RPI[],COLUMNS(RPI[[Strand]:[user_selected_coi_ncoi]]),FALSE), IF(AND(teacher_type="R",career_stage="HP"),VLOOKUP($B79,RHPI[],COLUMNS(RHPI[[Strand]:[user_selected_coi_ncoi]]),FALSE), IF(AND(teacher_type="TB",career_stage="P"),VLOOKUP($B79,TBPI[],COLUMNS(TBPI[[Strand]:[user_selected_coi_ncoi]]),FALSE), IF(AND(teacher_type="TB",career_stage="HP"),VLOOKUP($B79,TBHPI[],COLUMNS(TBHPI[[Strand]:[user_selected_coi_ncoi]]),FALSE),"")))),"")</f>
        <v/>
      </c>
      <c r="M79" s="99" t="b">
        <f>IF(AND(teacher_type="R",career_stage="P"),IF(AND(COUNTIFS(RPS[Strand],$B79,RPS[QET],M$11)&gt;0,$D79),TRUE,FALSE),IF(AND(teacher_type="R",career_stage="HP"),IF(AND(COUNTIFS(RHPS[Strand],$B79,RHPS[QET],M$11)&gt;0,$D79),TRUE,FALSE), IF(AND(teacher_type="TB",career_stage="P"),IF(AND(COUNTIFS(TBPS[Strand],$B79,TBPS[QET],M$11)&gt;0,$D79),TRUE,FALSE), IF(AND(teacher_type="TB",career_stage="HP"),IF(AND(COUNTIFS(TBHPS[Strand],$B79,TBHPS[QET],M$11)&gt;0,$D79),TRUE,FALSE),FALSE))))</f>
        <v>0</v>
      </c>
      <c r="N79" s="99" t="b">
        <f>IF(AND(teacher_type="R",career_stage="P"),IF(AND(COUNTIFS(RPS[Strand],$B79,RPS[QET],N$11)&gt;0,$D79),TRUE,FALSE),IF(AND(teacher_type="R",career_stage="HP"),IF(AND(COUNTIFS(RHPS[Strand],$B79,RHPS[QET],N$11)&gt;0,$D79),TRUE,FALSE), IF(AND(teacher_type="TB",career_stage="P"),IF(AND(COUNTIFS(TBPS[Strand],$B79,TBPS[QET],N$11)&gt;0,$D79),TRUE,FALSE), IF(AND(teacher_type="TB",career_stage="HP"),IF(AND(COUNTIFS(TBHPS[Strand],$B79,TBHPS[QET],N$11)&gt;0,$D79),TRUE,FALSE),FALSE))))</f>
        <v>0</v>
      </c>
      <c r="O79" s="99" t="b">
        <f>IF(AND(teacher_type="R",career_stage="P"),IF(AND(COUNTIFS(RPS[Strand],$B79,RPS[QET],O$11)&gt;0,$D79),TRUE,FALSE),IF(AND(teacher_type="R",career_stage="HP"),IF(AND(COUNTIFS(RHPS[Strand],$B79,RHPS[QET],O$11)&gt;0,$D79),TRUE,FALSE), IF(AND(teacher_type="TB",career_stage="P"),IF(AND(COUNTIFS(TBPS[Strand],$B79,TBPS[QET],O$11)&gt;0,$D79),TRUE,FALSE), IF(AND(teacher_type="TB",career_stage="HP"),IF(AND(COUNTIFS(TBHPS[Strand],$B79,TBHPS[QET],O$11)&gt;0,$D79),TRUE,FALSE),FALSE))))</f>
        <v>0</v>
      </c>
      <c r="P79" s="710"/>
      <c r="Q79" s="662"/>
      <c r="R79" s="663"/>
      <c r="S79" s="664"/>
      <c r="T79" s="678"/>
      <c r="U79" s="94" t="s">
        <v>1186</v>
      </c>
      <c r="V79" s="391" t="str">
        <f ca="1">IFERROR(IF($N79,IF(AND(career_stage="P",teacher_type="R"),INDEX(INDIRECT("RPS["&amp;V$10&amp;"]"),MATCH($H79,RPS[helper],0),1), IF(AND(career_stage="HP",teacher_type="R"), INDEX(INDIRECT("RHPS["&amp;V$10&amp;"]"),MATCH($H79,RHPS[helper],0),1), IF(AND(career_stage="P",teacher_type="TB"),INDEX(INDIRECT("TBPS["&amp;V$10&amp;"]"),MATCH($H79,TBPS[helper],0),1), IF(AND(career_stage="HP",teacher_type="TB"),INDEX(INDIRECT("TBHPS["&amp;V$10&amp;"]"),MATCH($H79,TBHPS[helper],0),1),"")))),""),"")</f>
        <v/>
      </c>
      <c r="W79" s="391" t="str">
        <f ca="1">IFERROR(IF($N79,IF(AND(career_stage="P",teacher_type="R"),INDEX(INDIRECT("RPS["&amp;W$10&amp;"]"),MATCH($H79,RPS[helper],0),1), IF(AND(career_stage="HP",teacher_type="R"), INDEX(INDIRECT("RHPS["&amp;W$10&amp;"]"),MATCH($H79,RHPS[helper],0),1), IF(AND(career_stage="P",teacher_type="TB"),INDEX(INDIRECT("TBPS["&amp;W$10&amp;"]"),MATCH($H79,TBPS[helper],0),1), IF(AND(career_stage="HP",teacher_type="TB"),INDEX(INDIRECT("TBHPS["&amp;W$10&amp;"]"),MATCH($H79,TBHPS[helper],0),1),"")))),""),"")</f>
        <v/>
      </c>
      <c r="X79" s="391" t="str">
        <f ca="1">IFERROR(IF($N79,IF(AND(career_stage="P",teacher_type="R"),INDEX(INDIRECT("RPS["&amp;X$10&amp;"]"),MATCH($H79,RPS[helper],0),1), IF(AND(career_stage="HP",teacher_type="R"), INDEX(INDIRECT("RHPS["&amp;X$10&amp;"]"),MATCH($H79,RHPS[helper],0),1), IF(AND(career_stage="P",teacher_type="TB"),INDEX(INDIRECT("TBPS["&amp;X$10&amp;"]"),MATCH($H79,TBPS[helper],0),1), IF(AND(career_stage="HP",teacher_type="TB"),INDEX(INDIRECT("TBHPS["&amp;X$10&amp;"]"),MATCH($H79,TBHPS[helper],0),1),"")))),""),"")</f>
        <v/>
      </c>
      <c r="Y79" s="391" t="str">
        <f ca="1">IFERROR(IF($N79,IF(AND(career_stage="P",teacher_type="R"),INDEX(INDIRECT("RPS["&amp;Y$10&amp;"]"),MATCH($H79,RPS[helper],0),1), IF(AND(career_stage="HP",teacher_type="R"), INDEX(INDIRECT("RHPS["&amp;Y$10&amp;"]"),MATCH($H79,RHPS[helper],0),1), IF(AND(career_stage="P",teacher_type="TB"),INDEX(INDIRECT("TBPS["&amp;Y$10&amp;"]"),MATCH($H79,TBPS[helper],0),1), IF(AND(career_stage="HP",teacher_type="TB"),INDEX(INDIRECT("TBHPS["&amp;Y$10&amp;"]"),MATCH($H79,TBHPS[helper],0),1),"")))),""),"")</f>
        <v/>
      </c>
      <c r="Z79" s="391" t="str">
        <f ca="1">IFERROR(IF($N79,IF(AND(career_stage="P",teacher_type="R"),INDEX(INDIRECT("RPS["&amp;Z$10&amp;"]"),MATCH($H79,RPS[helper],0),1), IF(AND(career_stage="HP",teacher_type="R"), INDEX(INDIRECT("RHPS["&amp;Z$10&amp;"]"),MATCH($H79,RHPS[helper],0),1), IF(AND(career_stage="P",teacher_type="TB"),INDEX(INDIRECT("TBPS["&amp;Z$10&amp;"]"),MATCH($H79,TBPS[helper],0),1), IF(AND(career_stage="HP",teacher_type="TB"),INDEX(INDIRECT("TBHPS["&amp;Z$10&amp;"]"),MATCH($H79,TBHPS[helper],0),1),"")))),""),"")</f>
        <v/>
      </c>
      <c r="AA79" s="392" t="str" cm="1">
        <f t="array" ref="AA79">IFERROR(INDEX(V79:Z79,6-AC78),"")</f>
        <v/>
      </c>
      <c r="AB79" s="680"/>
      <c r="AC79" s="680"/>
      <c r="AD79" s="680"/>
      <c r="AE79" s="682"/>
      <c r="AF79" s="661"/>
      <c r="AG79" s="5"/>
    </row>
    <row r="80" spans="1:33" hidden="1" x14ac:dyDescent="0.25">
      <c r="A80" s="92">
        <v>23</v>
      </c>
      <c r="B80" s="99" t="str" cm="1">
        <f t="array" ref="B80">IFERROR(IF(AND(teacher_type="R",career_stage="P"),INDEX(RPI[Strand],$A80),IF(AND(teacher_type="R",career_stage="HP"),INDEX(RHPI[Strand],$A80), IF(AND(teacher_type="TB",career_stage="P"),INDEX(TBPI[Strand],$A80), IF(AND(teacher_type="TB",career_stage="HP"),INDEX(TBHPI[Strand],$A80),0)))),0)</f>
        <v>4.5.2</v>
      </c>
      <c r="C80" s="99">
        <f>IFERROR(IF(AND(teacher_type="R",career_stage="P"),VLOOKUP($B80,RPI[[Strand]:[Domain]],COLUMNS(RPI[[Strand]:[Domain]]),FALSE), IF(AND(teacher_type="R",career_stage="HP"),VLOOKUP($B80,RHPI[[Strand]:[Domain]],COLUMNS(RHPI[[Strand]:[Domain]]),FALSE), IF(AND(teacher_type="TB",career_stage="P"),VLOOKUP($B80,TBPI[[Strand]:[Domain]],COLUMNS(TBPI[[Strand]:[Domain]]),FALSE), IF(AND(teacher_type="TB",career_stage="HP"),VLOOKUP($B80,TBHPI[[Strand]:[Domain]],COLUMNS(TBHPI[[Strand]:[Domain]]),FALSE),"")))),"")</f>
        <v>3</v>
      </c>
      <c r="D80" s="99" t="b">
        <f>IFERROR(IF(AND(career_stage="P",teacher_type="R"),VLOOKUP(B80,RPI[],COLUMNS(RPI[[Strand]:[Selected]]),FALSE), IF(AND(career_stage="HP",teacher_type="R"),VLOOKUP(B80,RHPI[],COLUMNS(RHPI[[Strand]:[Selected]]),FALSE), IF(AND(career_stage="P",teacher_type="TB"),VLOOKUP(B80,TBPI[],COLUMNS(TBPI[[Strand]:[Selected]]),FALSE), IF(AND(career_stage="HP",teacher_type="TB"),VLOOKUP(B80,TBHPI[],COLUMNS(TBHPI[[Strand]:[Selected]]),FALSE),FALSE)))),FALSE)</f>
        <v>0</v>
      </c>
      <c r="E80" s="92" t="b">
        <f>COUNTIFS($C$12:$C80,C80,$D$12:$D80,TRUE)=1</f>
        <v>0</v>
      </c>
      <c r="F80" s="92" t="b">
        <f>COUNTIFS($C$12:$C80,$C80,$B$12:$B80,$B80,$D$12:$D80,TRUE)=1</f>
        <v>0</v>
      </c>
      <c r="G80" s="99">
        <f>IF($F80,COUNTIFS($C$12:$C80,C80,$F$12:$F80,TRUE),0)</f>
        <v>0</v>
      </c>
      <c r="H80" s="99" t="str">
        <f t="shared" si="43"/>
        <v>4.5.2-T</v>
      </c>
      <c r="I80" s="99">
        <f>IF(AND(D80,NOT($A80=$A79)),(COUNTIF($D$11:$D79,TRUE)/3)+1,0)</f>
        <v>0</v>
      </c>
      <c r="J80" s="99" t="s">
        <v>1014</v>
      </c>
      <c r="K80" s="99" t="b">
        <f>IF(AND(teacher_type="R",career_stage="P"),IF(AND(COUNTIFS(RPS[Strand],$B80,RPS[QET],$J80)&gt;0,$D80),TRUE,FALSE), IF(AND(teacher_type="R",career_stage="HP"),IF(AND(COUNTIFS(RHPS[Strand],$B80,RHPS[QET],$J80)&gt;0,$D80),TRUE,FALSE), IF(AND(teacher_type="TB",career_stage="P"),IF(AND(COUNTIFS(TBPS[Strand],$B80,TBPS[QET],$J80)&gt;0,$D80),TRUE,FALSE), IF(AND(teacher_type="TB",career_stage="HP"),IF(AND(COUNTIFS(TBHPS[Strand],$B80,TBHPS[QET],$J80)&gt;0,$D80),TRUE,FALSE),FALSE))))</f>
        <v>0</v>
      </c>
      <c r="L80" s="99" t="str">
        <f>IF($K80,IF(AND(teacher_type="R",career_stage="P"),VLOOKUP($B80,RPI[],COLUMNS(RPI[[Strand]:[user_selected_coi_ncoi]]),FALSE), IF(AND(teacher_type="R",career_stage="HP"),VLOOKUP($B80,RHPI[],COLUMNS(RHPI[[Strand]:[user_selected_coi_ncoi]]),FALSE), IF(AND(teacher_type="TB",career_stage="P"),VLOOKUP($B80,TBPI[],COLUMNS(TBPI[[Strand]:[user_selected_coi_ncoi]]),FALSE), IF(AND(teacher_type="TB",career_stage="HP"),VLOOKUP($B80,TBHPI[],COLUMNS(TBHPI[[Strand]:[user_selected_coi_ncoi]]),FALSE),"")))),"")</f>
        <v/>
      </c>
      <c r="M80" s="99" t="b">
        <f>IF(AND(teacher_type="R",career_stage="P"),IF(AND(COUNTIFS(RPS[Strand],$B80,RPS[QET],M$11)&gt;0,$D80),TRUE,FALSE),IF(AND(teacher_type="R",career_stage="HP"),IF(AND(COUNTIFS(RHPS[Strand],$B80,RHPS[QET],M$11)&gt;0,$D80),TRUE,FALSE), IF(AND(teacher_type="TB",career_stage="P"),IF(AND(COUNTIFS(TBPS[Strand],$B80,TBPS[QET],M$11)&gt;0,$D80),TRUE,FALSE), IF(AND(teacher_type="TB",career_stage="HP"),IF(AND(COUNTIFS(TBHPS[Strand],$B80,TBHPS[QET],M$11)&gt;0,$D80),TRUE,FALSE),FALSE))))</f>
        <v>0</v>
      </c>
      <c r="N80" s="99" t="b">
        <f>IF(AND(teacher_type="R",career_stage="P"),IF(AND(COUNTIFS(RPS[Strand],$B80,RPS[QET],N$11)&gt;0,$D80),TRUE,FALSE),IF(AND(teacher_type="R",career_stage="HP"),IF(AND(COUNTIFS(RHPS[Strand],$B80,RHPS[QET],N$11)&gt;0,$D80),TRUE,FALSE), IF(AND(teacher_type="TB",career_stage="P"),IF(AND(COUNTIFS(TBPS[Strand],$B80,TBPS[QET],N$11)&gt;0,$D80),TRUE,FALSE), IF(AND(teacher_type="TB",career_stage="HP"),IF(AND(COUNTIFS(TBHPS[Strand],$B80,TBHPS[QET],N$11)&gt;0,$D80),TRUE,FALSE),FALSE))))</f>
        <v>0</v>
      </c>
      <c r="O80" s="99" t="b">
        <f>IF(AND(teacher_type="R",career_stage="P"),IF(AND(COUNTIFS(RPS[Strand],$B80,RPS[QET],O$11)&gt;0,$D80),TRUE,FALSE),IF(AND(teacher_type="R",career_stage="HP"),IF(AND(COUNTIFS(RHPS[Strand],$B80,RHPS[QET],O$11)&gt;0,$D80),TRUE,FALSE), IF(AND(teacher_type="TB",career_stage="P"),IF(AND(COUNTIFS(TBPS[Strand],$B80,TBPS[QET],O$11)&gt;0,$D80),TRUE,FALSE), IF(AND(teacher_type="TB",career_stage="HP"),IF(AND(COUNTIFS(TBHPS[Strand],$B80,TBHPS[QET],O$11)&gt;0,$D80),TRUE,FALSE),FALSE))))</f>
        <v>0</v>
      </c>
      <c r="P80" s="710"/>
      <c r="Q80" s="662"/>
      <c r="R80" s="663"/>
      <c r="S80" s="664"/>
      <c r="T80" s="678"/>
      <c r="U80" s="94" t="s">
        <v>1187</v>
      </c>
      <c r="V80" s="391" t="str">
        <f ca="1">IFERROR(IF($O80,IF(AND(career_stage="P",teacher_type="R"),INDEX(INDIRECT("RPS["&amp;V$10&amp;"]"),MATCH($H80,RPS[helper],0),1), IF(AND(career_stage="HP",teacher_type="R"), INDEX(INDIRECT("RHPS["&amp;V$10&amp;"]"),MATCH($H80,RHPS[helper],0),1), IF(AND(career_stage="P",teacher_type="TB"),INDEX(INDIRECT("TBPS["&amp;V$10&amp;"]"),MATCH($H80,TBPS[helper],0),1), IF(AND(career_stage="HP",teacher_type="TB"),INDEX(INDIRECT("TBHPS["&amp;V$10&amp;"]"),MATCH($H80,TBHPS[helper],0),1),"")))),""),"")</f>
        <v/>
      </c>
      <c r="W80" s="391" t="str">
        <f ca="1">IFERROR(IF($O80,IF(AND(career_stage="P",teacher_type="R"),INDEX(INDIRECT("RPS["&amp;W$10&amp;"]"),MATCH($H80,RPS[helper],0),1), IF(AND(career_stage="HP",teacher_type="R"), INDEX(INDIRECT("RHPS["&amp;W$10&amp;"]"),MATCH($H80,RHPS[helper],0),1), IF(AND(career_stage="P",teacher_type="TB"),INDEX(INDIRECT("TBPS["&amp;W$10&amp;"]"),MATCH($H80,TBPS[helper],0),1), IF(AND(career_stage="HP",teacher_type="TB"),INDEX(INDIRECT("TBHPS["&amp;W$10&amp;"]"),MATCH($H80,TBHPS[helper],0),1),"")))),""),"")</f>
        <v/>
      </c>
      <c r="X80" s="391" t="str">
        <f ca="1">IFERROR(IF($O80,IF(AND(career_stage="P",teacher_type="R"),INDEX(INDIRECT("RPS["&amp;X$10&amp;"]"),MATCH($H80,RPS[helper],0),1), IF(AND(career_stage="HP",teacher_type="R"), INDEX(INDIRECT("RHPS["&amp;X$10&amp;"]"),MATCH($H80,RHPS[helper],0),1), IF(AND(career_stage="P",teacher_type="TB"),INDEX(INDIRECT("TBPS["&amp;X$10&amp;"]"),MATCH($H80,TBPS[helper],0),1), IF(AND(career_stage="HP",teacher_type="TB"),INDEX(INDIRECT("TBHPS["&amp;X$10&amp;"]"),MATCH($H80,TBHPS[helper],0),1),"")))),""),"")</f>
        <v/>
      </c>
      <c r="Y80" s="391" t="str">
        <f ca="1">IFERROR(IF($O80,IF(AND(career_stage="P",teacher_type="R"),INDEX(INDIRECT("RPS["&amp;Y$10&amp;"]"),MATCH($H80,RPS[helper],0),1), IF(AND(career_stage="HP",teacher_type="R"), INDEX(INDIRECT("RHPS["&amp;Y$10&amp;"]"),MATCH($H80,RHPS[helper],0),1), IF(AND(career_stage="P",teacher_type="TB"),INDEX(INDIRECT("TBPS["&amp;Y$10&amp;"]"),MATCH($H80,TBPS[helper],0),1), IF(AND(career_stage="HP",teacher_type="TB"),INDEX(INDIRECT("TBHPS["&amp;Y$10&amp;"]"),MATCH($H80,TBHPS[helper],0),1),"")))),""),"")</f>
        <v/>
      </c>
      <c r="Z80" s="391" t="str">
        <f ca="1">IFERROR(IF($O80,IF(AND(career_stage="P",teacher_type="R"),INDEX(INDIRECT("RPS["&amp;Z$10&amp;"]"),MATCH($H80,RPS[helper],0),1), IF(AND(career_stage="HP",teacher_type="R"), INDEX(INDIRECT("RHPS["&amp;Z$10&amp;"]"),MATCH($H80,RHPS[helper],0),1), IF(AND(career_stage="P",teacher_type="TB"),INDEX(INDIRECT("TBPS["&amp;Z$10&amp;"]"),MATCH($H80,TBPS[helper],0),1), IF(AND(career_stage="HP",teacher_type="TB"),INDEX(INDIRECT("TBHPS["&amp;Z$10&amp;"]"),MATCH($H80,TBHPS[helper],0),1),"")))),""),"")</f>
        <v/>
      </c>
      <c r="AA80" s="391" t="str" cm="1">
        <f t="array" ref="AA80">IFERROR(INDEX(V80:Z80,6-AD78),"")</f>
        <v/>
      </c>
      <c r="AB80" s="680"/>
      <c r="AC80" s="680"/>
      <c r="AD80" s="680"/>
      <c r="AE80" s="682"/>
      <c r="AF80" s="661"/>
      <c r="AG80" s="5"/>
    </row>
    <row r="81" spans="1:33" hidden="1" x14ac:dyDescent="0.25">
      <c r="A81" s="92">
        <v>24</v>
      </c>
      <c r="B81" s="99" t="str" cm="1">
        <f t="array" ref="B81">IFERROR(IF(AND(teacher_type="R",career_stage="P"),INDEX(RPI[Strand],$A81),IF(AND(teacher_type="R",career_stage="HP"),INDEX(RHPI[Strand],$A81), IF(AND(teacher_type="TB",career_stage="P"),INDEX(TBPI[Strand],$A81), IF(AND(teacher_type="TB",career_stage="HP"),INDEX(TBHPI[Strand],$A81),0)))),0)</f>
        <v>5.1.2</v>
      </c>
      <c r="C81" s="99">
        <f>IFERROR(IF(AND(teacher_type="R",career_stage="P"),VLOOKUP($B81,RPI[[Strand]:[Domain]],COLUMNS(RPI[[Strand]:[Domain]]),FALSE), IF(AND(teacher_type="R",career_stage="HP"),VLOOKUP($B81,RHPI[[Strand]:[Domain]],COLUMNS(RHPI[[Strand]:[Domain]]),FALSE), IF(AND(teacher_type="TB",career_stage="P"),VLOOKUP($B81,TBPI[[Strand]:[Domain]],COLUMNS(TBPI[[Strand]:[Domain]]),FALSE), IF(AND(teacher_type="TB",career_stage="HP"),VLOOKUP($B81,TBHPI[[Strand]:[Domain]],COLUMNS(TBHPI[[Strand]:[Domain]]),FALSE),"")))),"")</f>
        <v>4</v>
      </c>
      <c r="D81" s="99" t="b">
        <f>IFERROR(IF(AND(career_stage="P",teacher_type="R"),VLOOKUP(B81,RPI[],COLUMNS(RPI[[Strand]:[Selected]]),FALSE), IF(AND(career_stage="HP",teacher_type="R"),VLOOKUP(B81,RHPI[],COLUMNS(RHPI[[Strand]:[Selected]]),FALSE), IF(AND(career_stage="P",teacher_type="TB"),VLOOKUP(B81,TBPI[],COLUMNS(TBPI[[Strand]:[Selected]]),FALSE), IF(AND(career_stage="HP",teacher_type="TB"),VLOOKUP(B81,TBHPI[],COLUMNS(TBHPI[[Strand]:[Selected]]),FALSE),FALSE)))),FALSE)</f>
        <v>0</v>
      </c>
      <c r="E81" s="92" t="b">
        <f>COUNTIFS($C$12:$C81,C81,$D$12:$D81,TRUE)=1</f>
        <v>0</v>
      </c>
      <c r="F81" s="92" t="b">
        <f>COUNTIFS($C$12:$C81,$C81,$B$12:$B81,$B81,$D$12:$D81,TRUE)=1</f>
        <v>0</v>
      </c>
      <c r="G81" s="99">
        <f>IF($F81,COUNTIFS($C$12:$C81,C81,$F$12:$F81,TRUE),0)</f>
        <v>0</v>
      </c>
      <c r="H81" s="99" t="str">
        <f t="shared" si="43"/>
        <v>5.1.2-Q</v>
      </c>
      <c r="I81" s="99">
        <f>IF(AND(D81,NOT($A81=$A80)),(COUNTIF($D$11:$D80,TRUE)/3)+1,0)</f>
        <v>0</v>
      </c>
      <c r="J81" s="99" t="s">
        <v>1012</v>
      </c>
      <c r="K81" s="99" t="b">
        <f>IF(AND(teacher_type="R",career_stage="P"),IF(AND(COUNTIFS(RPS[Strand],$B81,RPS[QET],$J81)&gt;0,$D81),TRUE,FALSE), IF(AND(teacher_type="R",career_stage="HP"),IF(AND(COUNTIFS(RHPS[Strand],$B81,RHPS[QET],$J81)&gt;0,$D81),TRUE,FALSE), IF(AND(teacher_type="TB",career_stage="P"),IF(AND(COUNTIFS(TBPS[Strand],$B81,TBPS[QET],$J81)&gt;0,$D81),TRUE,FALSE), IF(AND(teacher_type="TB",career_stage="HP"),IF(AND(COUNTIFS(TBHPS[Strand],$B81,TBHPS[QET],$J81)&gt;0,$D81),TRUE,FALSE),FALSE))))</f>
        <v>0</v>
      </c>
      <c r="L81" s="99" t="str">
        <f>IF($K81,IF(AND(teacher_type="R",career_stage="P"),VLOOKUP($B81,RPI[],COLUMNS(RPI[[Strand]:[user_selected_coi_ncoi]]),FALSE), IF(AND(teacher_type="R",career_stage="HP"),VLOOKUP($B81,RHPI[],COLUMNS(RHPI[[Strand]:[user_selected_coi_ncoi]]),FALSE), IF(AND(teacher_type="TB",career_stage="P"),VLOOKUP($B81,TBPI[],COLUMNS(TBPI[[Strand]:[user_selected_coi_ncoi]]),FALSE), IF(AND(teacher_type="TB",career_stage="HP"),VLOOKUP($B81,TBHPI[],COLUMNS(TBHPI[[Strand]:[user_selected_coi_ncoi]]),FALSE),"")))),"")</f>
        <v/>
      </c>
      <c r="M81" s="99" t="b">
        <f>IF(AND(teacher_type="R",career_stage="P"),IF(AND(COUNTIFS(RPS[Strand],$B81,RPS[QET],M$11)&gt;0,$D81),TRUE,FALSE),IF(AND(teacher_type="R",career_stage="HP"),IF(AND(COUNTIFS(RHPS[Strand],$B81,RHPS[QET],M$11)&gt;0,$D81),TRUE,FALSE), IF(AND(teacher_type="TB",career_stage="P"),IF(AND(COUNTIFS(TBPS[Strand],$B81,TBPS[QET],M$11)&gt;0,$D81),TRUE,FALSE), IF(AND(teacher_type="TB",career_stage="HP"),IF(AND(COUNTIFS(TBHPS[Strand],$B81,TBHPS[QET],M$11)&gt;0,$D81),TRUE,FALSE),FALSE))))</f>
        <v>0</v>
      </c>
      <c r="N81" s="99" t="b">
        <f>IF(AND(teacher_type="R",career_stage="P"),IF(AND(COUNTIFS(RPS[Strand],$B81,RPS[QET],N$11)&gt;0,$D81),TRUE,FALSE),IF(AND(teacher_type="R",career_stage="HP"),IF(AND(COUNTIFS(RHPS[Strand],$B81,RHPS[QET],N$11)&gt;0,$D81),TRUE,FALSE), IF(AND(teacher_type="TB",career_stage="P"),IF(AND(COUNTIFS(TBPS[Strand],$B81,TBPS[QET],N$11)&gt;0,$D81),TRUE,FALSE), IF(AND(teacher_type="TB",career_stage="HP"),IF(AND(COUNTIFS(TBHPS[Strand],$B81,TBHPS[QET],N$11)&gt;0,$D81),TRUE,FALSE),FALSE))))</f>
        <v>0</v>
      </c>
      <c r="O81" s="99" t="b">
        <f>IF(AND(teacher_type="R",career_stage="P"),IF(AND(COUNTIFS(RPS[Strand],$B81,RPS[QET],O$11)&gt;0,$D81),TRUE,FALSE),IF(AND(teacher_type="R",career_stage="HP"),IF(AND(COUNTIFS(RHPS[Strand],$B81,RHPS[QET],O$11)&gt;0,$D81),TRUE,FALSE), IF(AND(teacher_type="TB",career_stage="P"),IF(AND(COUNTIFS(TBPS[Strand],$B81,TBPS[QET],O$11)&gt;0,$D81),TRUE,FALSE), IF(AND(teacher_type="TB",career_stage="HP"),IF(AND(COUNTIFS(TBHPS[Strand],$B81,TBHPS[QET],O$11)&gt;0,$D81),TRUE,FALSE),FALSE))))</f>
        <v>0</v>
      </c>
      <c r="P81" s="710"/>
      <c r="Q81" s="662" t="str">
        <f>IFERROR(IF(E81,IF(C81="Plus Factor","Plus Factor",C81 &amp; ". " &amp; INDEX(Domains[Domain],MATCH(C81,Domains[Domain_code],0),1)),""),"")</f>
        <v/>
      </c>
      <c r="R81" s="663" t="str">
        <f>IFERROR(IF($F81,$I81 &amp; ". " &amp; IF(AND(career_stage="P",teacher_type="R"), INDEX(RPI[PPST Indicators],MATCH($B81,RPI[Strand],0),1), IF(AND(career_stage="HP",teacher_type="R"),INDEX(RHPI[PPST Indicators],MATCH($B81,RHPI[Strand],0),1), IF(AND(career_stage="P",teacher_type="TB"),INDEX(TBPI[PPST Indicators],MATCH($B81,TBPI[Strand],0),1), IF(AND(career_stage="HP",teacher_type="TB"),INDEX(TBHPI[PPST Indicators],MATCH($B81,TBHPI[Strand],0),1),"")))) &amp; IF(NOT(TRIM(LOWER($C81))="plus factor")," (PPST "&amp;B81&amp;")",""),""),"")</f>
        <v/>
      </c>
      <c r="S81" s="664" t="str" cm="1">
        <f t="array" ref="S81">demographics[rating_period]</f>
        <v>SY 2023-2024</v>
      </c>
      <c r="T81" s="678">
        <f>IFERROR(IF(AND(career_stage="P",teacher_type="R"),VLOOKUP(B81,RPI[],COLUMNS(RPI[[Strand]:[Weight]]),FALSE), IF(AND(career_stage="HP",teacher_type="R"),VLOOKUP(B81,RHPI[],COLUMNS(RHPI[[Strand]:[Weight]]),FALSE), IF(AND(career_stage="P",teacher_type="TB"),VLOOKUP(B81,TBPI[],COLUMNS(TBPI[[Strand]:[Weight]]),FALSE), IF(AND(career_stage="HP",teacher_type="TB"),VLOOKUP(B81,TBHPI[],COLUMNS(TBHPI[[Strand]:[Weight]]),FALSE),0)))),0)</f>
        <v>0</v>
      </c>
      <c r="U81" s="94" t="s">
        <v>1185</v>
      </c>
      <c r="V81" s="391" t="str">
        <f ca="1">IFERROR(IF($M81,IF(AND(career_stage="P",teacher_type="R"),INDEX(INDIRECT("RPS["&amp;V$10&amp;"]"),MATCH($H81,RPS[helper],0),1), IF(AND(career_stage="HP",teacher_type="R"), INDEX(INDIRECT("RHPS["&amp;V$10&amp;"]"),MATCH($H81,RHPS[helper],0),1), IF(AND(career_stage="P",teacher_type="TB"),INDEX(INDIRECT("TBPS["&amp;V$10&amp;"]"),MATCH($H81,TBPS[helper],0),1), IF(AND(career_stage="HP",teacher_type="TB"),INDEX(INDIRECT("TBHPS["&amp;V$10&amp;"]"),MATCH($H81,TBHPS[helper],0),1),"")))),""),"")</f>
        <v/>
      </c>
      <c r="W81" s="391" t="str">
        <f ca="1">IFERROR(IF($M81,IF(AND(career_stage="P",teacher_type="R"),INDEX(INDIRECT("RPS["&amp;W$10&amp;"]"),MATCH($H81,RPS[helper],0),1), IF(AND(career_stage="HP",teacher_type="R"), INDEX(INDIRECT("RHPS["&amp;W$10&amp;"]"),MATCH($H81,RHPS[helper],0),1), IF(AND(career_stage="P",teacher_type="TB"),INDEX(INDIRECT("TBPS["&amp;W$10&amp;"]"),MATCH($H81,TBPS[helper],0),1), IF(AND(career_stage="HP",teacher_type="TB"),INDEX(INDIRECT("TBHPS["&amp;W$10&amp;"]"),MATCH($H81,TBHPS[helper],0),1),"")))),""),"")</f>
        <v/>
      </c>
      <c r="X81" s="391" t="str">
        <f ca="1">IFERROR(IF($M81,IF(AND(career_stage="P",teacher_type="R"),INDEX(INDIRECT("RPS["&amp;X$10&amp;"]"),MATCH($H81,RPS[helper],0),1), IF(AND(career_stage="HP",teacher_type="R"), INDEX(INDIRECT("RHPS["&amp;X$10&amp;"]"),MATCH($H81,RHPS[helper],0),1), IF(AND(career_stage="P",teacher_type="TB"),INDEX(INDIRECT("TBPS["&amp;X$10&amp;"]"),MATCH($H81,TBPS[helper],0),1), IF(AND(career_stage="HP",teacher_type="TB"),INDEX(INDIRECT("TBHPS["&amp;X$10&amp;"]"),MATCH($H81,TBHPS[helper],0),1),"")))),""),"")</f>
        <v/>
      </c>
      <c r="Y81" s="391" t="str">
        <f ca="1">IFERROR(IF($M81,IF(AND(career_stage="P",teacher_type="R"),INDEX(INDIRECT("RPS["&amp;Y$10&amp;"]"),MATCH($H81,RPS[helper],0),1), IF(AND(career_stage="HP",teacher_type="R"), INDEX(INDIRECT("RHPS["&amp;Y$10&amp;"]"),MATCH($H81,RHPS[helper],0),1), IF(AND(career_stage="P",teacher_type="TB"),INDEX(INDIRECT("TBPS["&amp;Y$10&amp;"]"),MATCH($H81,TBPS[helper],0),1), IF(AND(career_stage="HP",teacher_type="TB"),INDEX(INDIRECT("TBHPS["&amp;Y$10&amp;"]"),MATCH($H81,TBHPS[helper],0),1),"")))),""),"")</f>
        <v/>
      </c>
      <c r="Z81" s="391" t="str">
        <f ca="1">IFERROR(IF($M81,IF(AND(career_stage="P",teacher_type="R"),INDEX(INDIRECT("RPS["&amp;Z$10&amp;"]"),MATCH($H81,RPS[helper],0),1), IF(AND(career_stage="HP",teacher_type="R"), INDEX(INDIRECT("RHPS["&amp;Z$10&amp;"]"),MATCH($H81,RHPS[helper],0),1), IF(AND(career_stage="P",teacher_type="TB"),INDEX(INDIRECT("TBPS["&amp;Z$10&amp;"]"),MATCH($H81,TBPS[helper],0),1), IF(AND(career_stage="HP",teacher_type="TB"),INDEX(INDIRECT("TBHPS["&amp;Z$10&amp;"]"),MATCH($H81,TBHPS[helper],0),1),"")))),""),"")</f>
        <v/>
      </c>
      <c r="AA81" s="392" t="str" cm="1">
        <f t="array" ref="AA81">IFERROR(INDEX(V81:Z81,6-AB81),"")</f>
        <v/>
      </c>
      <c r="AB81" s="680" t="str">
        <f>IF('Encoding Part 1'!AB45="","",'Encoding Part 1'!AB45)</f>
        <v/>
      </c>
      <c r="AC81" s="680" t="str">
        <f>IF('Encoding Part 1'!AC45="","",'Encoding Part 1'!AC45)</f>
        <v/>
      </c>
      <c r="AD81" s="680" t="str">
        <f>IF('Encoding Part 1'!AD45="","",'Encoding Part 1'!AD45)</f>
        <v/>
      </c>
      <c r="AE81" s="682">
        <f t="shared" ref="AE81" si="46">IFERROR(ROUNDDOWN(AVERAGE($AB81:$AD81),3),0)</f>
        <v>0</v>
      </c>
      <c r="AF81" s="661">
        <f t="shared" ref="AF81" si="47">ROUNDDOWN($AE81*$T81,3)</f>
        <v>0</v>
      </c>
      <c r="AG81" s="5"/>
    </row>
    <row r="82" spans="1:33" hidden="1" x14ac:dyDescent="0.25">
      <c r="A82" s="92">
        <v>24</v>
      </c>
      <c r="B82" s="99" t="str" cm="1">
        <f t="array" ref="B82">IFERROR(IF(AND(teacher_type="R",career_stage="P"),INDEX(RPI[Strand],$A82),IF(AND(teacher_type="R",career_stage="HP"),INDEX(RHPI[Strand],$A82), IF(AND(teacher_type="TB",career_stage="P"),INDEX(TBPI[Strand],$A82), IF(AND(teacher_type="TB",career_stage="HP"),INDEX(TBHPI[Strand],$A82),0)))),0)</f>
        <v>5.1.2</v>
      </c>
      <c r="C82" s="99">
        <f>IFERROR(IF(AND(teacher_type="R",career_stage="P"),VLOOKUP($B82,RPI[[Strand]:[Domain]],COLUMNS(RPI[[Strand]:[Domain]]),FALSE), IF(AND(teacher_type="R",career_stage="HP"),VLOOKUP($B82,RHPI[[Strand]:[Domain]],COLUMNS(RHPI[[Strand]:[Domain]]),FALSE), IF(AND(teacher_type="TB",career_stage="P"),VLOOKUP($B82,TBPI[[Strand]:[Domain]],COLUMNS(TBPI[[Strand]:[Domain]]),FALSE), IF(AND(teacher_type="TB",career_stage="HP"),VLOOKUP($B82,TBHPI[[Strand]:[Domain]],COLUMNS(TBHPI[[Strand]:[Domain]]),FALSE),"")))),"")</f>
        <v>4</v>
      </c>
      <c r="D82" s="99" t="b">
        <f>IFERROR(IF(AND(career_stage="P",teacher_type="R"),VLOOKUP(B82,RPI[],COLUMNS(RPI[[Strand]:[Selected]]),FALSE), IF(AND(career_stage="HP",teacher_type="R"),VLOOKUP(B82,RHPI[],COLUMNS(RHPI[[Strand]:[Selected]]),FALSE), IF(AND(career_stage="P",teacher_type="TB"),VLOOKUP(B82,TBPI[],COLUMNS(TBPI[[Strand]:[Selected]]),FALSE), IF(AND(career_stage="HP",teacher_type="TB"),VLOOKUP(B82,TBHPI[],COLUMNS(TBHPI[[Strand]:[Selected]]),FALSE),FALSE)))),FALSE)</f>
        <v>0</v>
      </c>
      <c r="E82" s="92" t="b">
        <f>COUNTIFS($C$12:$C82,C82,$D$12:$D82,TRUE)=1</f>
        <v>0</v>
      </c>
      <c r="F82" s="92" t="b">
        <f>COUNTIFS($C$12:$C82,$C82,$B$12:$B82,$B82,$D$12:$D82,TRUE)=1</f>
        <v>0</v>
      </c>
      <c r="G82" s="99">
        <f>IF($F82,COUNTIFS($C$12:$C82,C82,$F$12:$F82,TRUE),0)</f>
        <v>0</v>
      </c>
      <c r="H82" s="99" t="str">
        <f t="shared" si="43"/>
        <v>5.1.2-E</v>
      </c>
      <c r="I82" s="99">
        <f>IF(AND(D82,NOT($A82=$A81)),(COUNTIF($D$11:$D81,TRUE)/3)+1,0)</f>
        <v>0</v>
      </c>
      <c r="J82" s="99" t="s">
        <v>1073</v>
      </c>
      <c r="K82" s="99" t="b">
        <f>IF(AND(teacher_type="R",career_stage="P"),IF(AND(COUNTIFS(RPS[Strand],$B82,RPS[QET],$J82)&gt;0,$D82),TRUE,FALSE), IF(AND(teacher_type="R",career_stage="HP"),IF(AND(COUNTIFS(RHPS[Strand],$B82,RHPS[QET],$J82)&gt;0,$D82),TRUE,FALSE), IF(AND(teacher_type="TB",career_stage="P"),IF(AND(COUNTIFS(TBPS[Strand],$B82,TBPS[QET],$J82)&gt;0,$D82),TRUE,FALSE), IF(AND(teacher_type="TB",career_stage="HP"),IF(AND(COUNTIFS(TBHPS[Strand],$B82,TBHPS[QET],$J82)&gt;0,$D82),TRUE,FALSE),FALSE))))</f>
        <v>0</v>
      </c>
      <c r="L82" s="99" t="str">
        <f>IF($K82,IF(AND(teacher_type="R",career_stage="P"),VLOOKUP($B82,RPI[],COLUMNS(RPI[[Strand]:[user_selected_coi_ncoi]]),FALSE), IF(AND(teacher_type="R",career_stage="HP"),VLOOKUP($B82,RHPI[],COLUMNS(RHPI[[Strand]:[user_selected_coi_ncoi]]),FALSE), IF(AND(teacher_type="TB",career_stage="P"),VLOOKUP($B82,TBPI[],COLUMNS(TBPI[[Strand]:[user_selected_coi_ncoi]]),FALSE), IF(AND(teacher_type="TB",career_stage="HP"),VLOOKUP($B82,TBHPI[],COLUMNS(TBHPI[[Strand]:[user_selected_coi_ncoi]]),FALSE),"")))),"")</f>
        <v/>
      </c>
      <c r="M82" s="99" t="b">
        <f>IF(AND(teacher_type="R",career_stage="P"),IF(AND(COUNTIFS(RPS[Strand],$B82,RPS[QET],M$11)&gt;0,$D82),TRUE,FALSE),IF(AND(teacher_type="R",career_stage="HP"),IF(AND(COUNTIFS(RHPS[Strand],$B82,RHPS[QET],M$11)&gt;0,$D82),TRUE,FALSE), IF(AND(teacher_type="TB",career_stage="P"),IF(AND(COUNTIFS(TBPS[Strand],$B82,TBPS[QET],M$11)&gt;0,$D82),TRUE,FALSE), IF(AND(teacher_type="TB",career_stage="HP"),IF(AND(COUNTIFS(TBHPS[Strand],$B82,TBHPS[QET],M$11)&gt;0,$D82),TRUE,FALSE),FALSE))))</f>
        <v>0</v>
      </c>
      <c r="N82" s="99" t="b">
        <f>IF(AND(teacher_type="R",career_stage="P"),IF(AND(COUNTIFS(RPS[Strand],$B82,RPS[QET],N$11)&gt;0,$D82),TRUE,FALSE),IF(AND(teacher_type="R",career_stage="HP"),IF(AND(COUNTIFS(RHPS[Strand],$B82,RHPS[QET],N$11)&gt;0,$D82),TRUE,FALSE), IF(AND(teacher_type="TB",career_stage="P"),IF(AND(COUNTIFS(TBPS[Strand],$B82,TBPS[QET],N$11)&gt;0,$D82),TRUE,FALSE), IF(AND(teacher_type="TB",career_stage="HP"),IF(AND(COUNTIFS(TBHPS[Strand],$B82,TBHPS[QET],N$11)&gt;0,$D82),TRUE,FALSE),FALSE))))</f>
        <v>0</v>
      </c>
      <c r="O82" s="99" t="b">
        <f>IF(AND(teacher_type="R",career_stage="P"),IF(AND(COUNTIFS(RPS[Strand],$B82,RPS[QET],O$11)&gt;0,$D82),TRUE,FALSE),IF(AND(teacher_type="R",career_stage="HP"),IF(AND(COUNTIFS(RHPS[Strand],$B82,RHPS[QET],O$11)&gt;0,$D82),TRUE,FALSE), IF(AND(teacher_type="TB",career_stage="P"),IF(AND(COUNTIFS(TBPS[Strand],$B82,TBPS[QET],O$11)&gt;0,$D82),TRUE,FALSE), IF(AND(teacher_type="TB",career_stage="HP"),IF(AND(COUNTIFS(TBHPS[Strand],$B82,TBHPS[QET],O$11)&gt;0,$D82),TRUE,FALSE),FALSE))))</f>
        <v>0</v>
      </c>
      <c r="P82" s="710"/>
      <c r="Q82" s="662"/>
      <c r="R82" s="663"/>
      <c r="S82" s="664"/>
      <c r="T82" s="678"/>
      <c r="U82" s="94" t="s">
        <v>1186</v>
      </c>
      <c r="V82" s="391" t="str">
        <f ca="1">IFERROR(IF($N82,IF(AND(career_stage="P",teacher_type="R"),INDEX(INDIRECT("RPS["&amp;V$10&amp;"]"),MATCH($H82,RPS[helper],0),1), IF(AND(career_stage="HP",teacher_type="R"), INDEX(INDIRECT("RHPS["&amp;V$10&amp;"]"),MATCH($H82,RHPS[helper],0),1), IF(AND(career_stage="P",teacher_type="TB"),INDEX(INDIRECT("TBPS["&amp;V$10&amp;"]"),MATCH($H82,TBPS[helper],0),1), IF(AND(career_stage="HP",teacher_type="TB"),INDEX(INDIRECT("TBHPS["&amp;V$10&amp;"]"),MATCH($H82,TBHPS[helper],0),1),"")))),""),"")</f>
        <v/>
      </c>
      <c r="W82" s="391" t="str">
        <f ca="1">IFERROR(IF($N82,IF(AND(career_stage="P",teacher_type="R"),INDEX(INDIRECT("RPS["&amp;W$10&amp;"]"),MATCH($H82,RPS[helper],0),1), IF(AND(career_stage="HP",teacher_type="R"), INDEX(INDIRECT("RHPS["&amp;W$10&amp;"]"),MATCH($H82,RHPS[helper],0),1), IF(AND(career_stage="P",teacher_type="TB"),INDEX(INDIRECT("TBPS["&amp;W$10&amp;"]"),MATCH($H82,TBPS[helper],0),1), IF(AND(career_stage="HP",teacher_type="TB"),INDEX(INDIRECT("TBHPS["&amp;W$10&amp;"]"),MATCH($H82,TBHPS[helper],0),1),"")))),""),"")</f>
        <v/>
      </c>
      <c r="X82" s="391" t="str">
        <f ca="1">IFERROR(IF($N82,IF(AND(career_stage="P",teacher_type="R"),INDEX(INDIRECT("RPS["&amp;X$10&amp;"]"),MATCH($H82,RPS[helper],0),1), IF(AND(career_stage="HP",teacher_type="R"), INDEX(INDIRECT("RHPS["&amp;X$10&amp;"]"),MATCH($H82,RHPS[helper],0),1), IF(AND(career_stage="P",teacher_type="TB"),INDEX(INDIRECT("TBPS["&amp;X$10&amp;"]"),MATCH($H82,TBPS[helper],0),1), IF(AND(career_stage="HP",teacher_type="TB"),INDEX(INDIRECT("TBHPS["&amp;X$10&amp;"]"),MATCH($H82,TBHPS[helper],0),1),"")))),""),"")</f>
        <v/>
      </c>
      <c r="Y82" s="391" t="str">
        <f ca="1">IFERROR(IF($N82,IF(AND(career_stage="P",teacher_type="R"),INDEX(INDIRECT("RPS["&amp;Y$10&amp;"]"),MATCH($H82,RPS[helper],0),1), IF(AND(career_stage="HP",teacher_type="R"), INDEX(INDIRECT("RHPS["&amp;Y$10&amp;"]"),MATCH($H82,RHPS[helper],0),1), IF(AND(career_stage="P",teacher_type="TB"),INDEX(INDIRECT("TBPS["&amp;Y$10&amp;"]"),MATCH($H82,TBPS[helper],0),1), IF(AND(career_stage="HP",teacher_type="TB"),INDEX(INDIRECT("TBHPS["&amp;Y$10&amp;"]"),MATCH($H82,TBHPS[helper],0),1),"")))),""),"")</f>
        <v/>
      </c>
      <c r="Z82" s="391" t="str">
        <f ca="1">IFERROR(IF($N82,IF(AND(career_stage="P",teacher_type="R"),INDEX(INDIRECT("RPS["&amp;Z$10&amp;"]"),MATCH($H82,RPS[helper],0),1), IF(AND(career_stage="HP",teacher_type="R"), INDEX(INDIRECT("RHPS["&amp;Z$10&amp;"]"),MATCH($H82,RHPS[helper],0),1), IF(AND(career_stage="P",teacher_type="TB"),INDEX(INDIRECT("TBPS["&amp;Z$10&amp;"]"),MATCH($H82,TBPS[helper],0),1), IF(AND(career_stage="HP",teacher_type="TB"),INDEX(INDIRECT("TBHPS["&amp;Z$10&amp;"]"),MATCH($H82,TBHPS[helper],0),1),"")))),""),"")</f>
        <v/>
      </c>
      <c r="AA82" s="392" t="str" cm="1">
        <f t="array" ref="AA82">IFERROR(INDEX(V82:Z82,6-AC81),"")</f>
        <v/>
      </c>
      <c r="AB82" s="680"/>
      <c r="AC82" s="680"/>
      <c r="AD82" s="680"/>
      <c r="AE82" s="682"/>
      <c r="AF82" s="661"/>
      <c r="AG82" s="5"/>
    </row>
    <row r="83" spans="1:33" hidden="1" x14ac:dyDescent="0.25">
      <c r="A83" s="92">
        <v>24</v>
      </c>
      <c r="B83" s="99" t="str" cm="1">
        <f t="array" ref="B83">IFERROR(IF(AND(teacher_type="R",career_stage="P"),INDEX(RPI[Strand],$A83),IF(AND(teacher_type="R",career_stage="HP"),INDEX(RHPI[Strand],$A83), IF(AND(teacher_type="TB",career_stage="P"),INDEX(TBPI[Strand],$A83), IF(AND(teacher_type="TB",career_stage="HP"),INDEX(TBHPI[Strand],$A83),0)))),0)</f>
        <v>5.1.2</v>
      </c>
      <c r="C83" s="99">
        <f>IFERROR(IF(AND(teacher_type="R",career_stage="P"),VLOOKUP($B83,RPI[[Strand]:[Domain]],COLUMNS(RPI[[Strand]:[Domain]]),FALSE), IF(AND(teacher_type="R",career_stage="HP"),VLOOKUP($B83,RHPI[[Strand]:[Domain]],COLUMNS(RHPI[[Strand]:[Domain]]),FALSE), IF(AND(teacher_type="TB",career_stage="P"),VLOOKUP($B83,TBPI[[Strand]:[Domain]],COLUMNS(TBPI[[Strand]:[Domain]]),FALSE), IF(AND(teacher_type="TB",career_stage="HP"),VLOOKUP($B83,TBHPI[[Strand]:[Domain]],COLUMNS(TBHPI[[Strand]:[Domain]]),FALSE),"")))),"")</f>
        <v>4</v>
      </c>
      <c r="D83" s="99" t="b">
        <f>IFERROR(IF(AND(career_stage="P",teacher_type="R"),VLOOKUP(B83,RPI[],COLUMNS(RPI[[Strand]:[Selected]]),FALSE), IF(AND(career_stage="HP",teacher_type="R"),VLOOKUP(B83,RHPI[],COLUMNS(RHPI[[Strand]:[Selected]]),FALSE), IF(AND(career_stage="P",teacher_type="TB"),VLOOKUP(B83,TBPI[],COLUMNS(TBPI[[Strand]:[Selected]]),FALSE), IF(AND(career_stage="HP",teacher_type="TB"),VLOOKUP(B83,TBHPI[],COLUMNS(TBHPI[[Strand]:[Selected]]),FALSE),FALSE)))),FALSE)</f>
        <v>0</v>
      </c>
      <c r="E83" s="92" t="b">
        <f>COUNTIFS($C$12:$C83,C83,$D$12:$D83,TRUE)=1</f>
        <v>0</v>
      </c>
      <c r="F83" s="92" t="b">
        <f>COUNTIFS($C$12:$C83,$C83,$B$12:$B83,$B83,$D$12:$D83,TRUE)=1</f>
        <v>0</v>
      </c>
      <c r="G83" s="99">
        <f>IF($F83,COUNTIFS($C$12:$C83,C83,$F$12:$F83,TRUE),0)</f>
        <v>0</v>
      </c>
      <c r="H83" s="99" t="str">
        <f t="shared" si="43"/>
        <v>5.1.2-T</v>
      </c>
      <c r="I83" s="99">
        <f>IF(AND(D83,NOT($A83=$A82)),(COUNTIF($D$11:$D82,TRUE)/3)+1,0)</f>
        <v>0</v>
      </c>
      <c r="J83" s="99" t="s">
        <v>1014</v>
      </c>
      <c r="K83" s="99" t="b">
        <f>IF(AND(teacher_type="R",career_stage="P"),IF(AND(COUNTIFS(RPS[Strand],$B83,RPS[QET],$J83)&gt;0,$D83),TRUE,FALSE), IF(AND(teacher_type="R",career_stage="HP"),IF(AND(COUNTIFS(RHPS[Strand],$B83,RHPS[QET],$J83)&gt;0,$D83),TRUE,FALSE), IF(AND(teacher_type="TB",career_stage="P"),IF(AND(COUNTIFS(TBPS[Strand],$B83,TBPS[QET],$J83)&gt;0,$D83),TRUE,FALSE), IF(AND(teacher_type="TB",career_stage="HP"),IF(AND(COUNTIFS(TBHPS[Strand],$B83,TBHPS[QET],$J83)&gt;0,$D83),TRUE,FALSE),FALSE))))</f>
        <v>0</v>
      </c>
      <c r="L83" s="99" t="str">
        <f>IF($K83,IF(AND(teacher_type="R",career_stage="P"),VLOOKUP($B83,RPI[],COLUMNS(RPI[[Strand]:[user_selected_coi_ncoi]]),FALSE), IF(AND(teacher_type="R",career_stage="HP"),VLOOKUP($B83,RHPI[],COLUMNS(RHPI[[Strand]:[user_selected_coi_ncoi]]),FALSE), IF(AND(teacher_type="TB",career_stage="P"),VLOOKUP($B83,TBPI[],COLUMNS(TBPI[[Strand]:[user_selected_coi_ncoi]]),FALSE), IF(AND(teacher_type="TB",career_stage="HP"),VLOOKUP($B83,TBHPI[],COLUMNS(TBHPI[[Strand]:[user_selected_coi_ncoi]]),FALSE),"")))),"")</f>
        <v/>
      </c>
      <c r="M83" s="99" t="b">
        <f>IF(AND(teacher_type="R",career_stage="P"),IF(AND(COUNTIFS(RPS[Strand],$B83,RPS[QET],M$11)&gt;0,$D83),TRUE,FALSE),IF(AND(teacher_type="R",career_stage="HP"),IF(AND(COUNTIFS(RHPS[Strand],$B83,RHPS[QET],M$11)&gt;0,$D83),TRUE,FALSE), IF(AND(teacher_type="TB",career_stage="P"),IF(AND(COUNTIFS(TBPS[Strand],$B83,TBPS[QET],M$11)&gt;0,$D83),TRUE,FALSE), IF(AND(teacher_type="TB",career_stage="HP"),IF(AND(COUNTIFS(TBHPS[Strand],$B83,TBHPS[QET],M$11)&gt;0,$D83),TRUE,FALSE),FALSE))))</f>
        <v>0</v>
      </c>
      <c r="N83" s="99" t="b">
        <f>IF(AND(teacher_type="R",career_stage="P"),IF(AND(COUNTIFS(RPS[Strand],$B83,RPS[QET],N$11)&gt;0,$D83),TRUE,FALSE),IF(AND(teacher_type="R",career_stage="HP"),IF(AND(COUNTIFS(RHPS[Strand],$B83,RHPS[QET],N$11)&gt;0,$D83),TRUE,FALSE), IF(AND(teacher_type="TB",career_stage="P"),IF(AND(COUNTIFS(TBPS[Strand],$B83,TBPS[QET],N$11)&gt;0,$D83),TRUE,FALSE), IF(AND(teacher_type="TB",career_stage="HP"),IF(AND(COUNTIFS(TBHPS[Strand],$B83,TBHPS[QET],N$11)&gt;0,$D83),TRUE,FALSE),FALSE))))</f>
        <v>0</v>
      </c>
      <c r="O83" s="99" t="b">
        <f>IF(AND(teacher_type="R",career_stage="P"),IF(AND(COUNTIFS(RPS[Strand],$B83,RPS[QET],O$11)&gt;0,$D83),TRUE,FALSE),IF(AND(teacher_type="R",career_stage="HP"),IF(AND(COUNTIFS(RHPS[Strand],$B83,RHPS[QET],O$11)&gt;0,$D83),TRUE,FALSE), IF(AND(teacher_type="TB",career_stage="P"),IF(AND(COUNTIFS(TBPS[Strand],$B83,TBPS[QET],O$11)&gt;0,$D83),TRUE,FALSE), IF(AND(teacher_type="TB",career_stage="HP"),IF(AND(COUNTIFS(TBHPS[Strand],$B83,TBHPS[QET],O$11)&gt;0,$D83),TRUE,FALSE),FALSE))))</f>
        <v>0</v>
      </c>
      <c r="P83" s="710"/>
      <c r="Q83" s="662"/>
      <c r="R83" s="663"/>
      <c r="S83" s="664"/>
      <c r="T83" s="678"/>
      <c r="U83" s="94" t="s">
        <v>1187</v>
      </c>
      <c r="V83" s="391" t="str">
        <f ca="1">IFERROR(IF($O83,IF(AND(career_stage="P",teacher_type="R"),INDEX(INDIRECT("RPS["&amp;V$10&amp;"]"),MATCH($H83,RPS[helper],0),1), IF(AND(career_stage="HP",teacher_type="R"), INDEX(INDIRECT("RHPS["&amp;V$10&amp;"]"),MATCH($H83,RHPS[helper],0),1), IF(AND(career_stage="P",teacher_type="TB"),INDEX(INDIRECT("TBPS["&amp;V$10&amp;"]"),MATCH($H83,TBPS[helper],0),1), IF(AND(career_stage="HP",teacher_type="TB"),INDEX(INDIRECT("TBHPS["&amp;V$10&amp;"]"),MATCH($H83,TBHPS[helper],0),1),"")))),""),"")</f>
        <v/>
      </c>
      <c r="W83" s="391" t="str">
        <f ca="1">IFERROR(IF($O83,IF(AND(career_stage="P",teacher_type="R"),INDEX(INDIRECT("RPS["&amp;W$10&amp;"]"),MATCH($H83,RPS[helper],0),1), IF(AND(career_stage="HP",teacher_type="R"), INDEX(INDIRECT("RHPS["&amp;W$10&amp;"]"),MATCH($H83,RHPS[helper],0),1), IF(AND(career_stage="P",teacher_type="TB"),INDEX(INDIRECT("TBPS["&amp;W$10&amp;"]"),MATCH($H83,TBPS[helper],0),1), IF(AND(career_stage="HP",teacher_type="TB"),INDEX(INDIRECT("TBHPS["&amp;W$10&amp;"]"),MATCH($H83,TBHPS[helper],0),1),"")))),""),"")</f>
        <v/>
      </c>
      <c r="X83" s="391" t="str">
        <f ca="1">IFERROR(IF($O83,IF(AND(career_stage="P",teacher_type="R"),INDEX(INDIRECT("RPS["&amp;X$10&amp;"]"),MATCH($H83,RPS[helper],0),1), IF(AND(career_stage="HP",teacher_type="R"), INDEX(INDIRECT("RHPS["&amp;X$10&amp;"]"),MATCH($H83,RHPS[helper],0),1), IF(AND(career_stage="P",teacher_type="TB"),INDEX(INDIRECT("TBPS["&amp;X$10&amp;"]"),MATCH($H83,TBPS[helper],0),1), IF(AND(career_stage="HP",teacher_type="TB"),INDEX(INDIRECT("TBHPS["&amp;X$10&amp;"]"),MATCH($H83,TBHPS[helper],0),1),"")))),""),"")</f>
        <v/>
      </c>
      <c r="Y83" s="391" t="str">
        <f ca="1">IFERROR(IF($O83,IF(AND(career_stage="P",teacher_type="R"),INDEX(INDIRECT("RPS["&amp;Y$10&amp;"]"),MATCH($H83,RPS[helper],0),1), IF(AND(career_stage="HP",teacher_type="R"), INDEX(INDIRECT("RHPS["&amp;Y$10&amp;"]"),MATCH($H83,RHPS[helper],0),1), IF(AND(career_stage="P",teacher_type="TB"),INDEX(INDIRECT("TBPS["&amp;Y$10&amp;"]"),MATCH($H83,TBPS[helper],0),1), IF(AND(career_stage="HP",teacher_type="TB"),INDEX(INDIRECT("TBHPS["&amp;Y$10&amp;"]"),MATCH($H83,TBHPS[helper],0),1),"")))),""),"")</f>
        <v/>
      </c>
      <c r="Z83" s="391" t="str">
        <f ca="1">IFERROR(IF($O83,IF(AND(career_stage="P",teacher_type="R"),INDEX(INDIRECT("RPS["&amp;Z$10&amp;"]"),MATCH($H83,RPS[helper],0),1), IF(AND(career_stage="HP",teacher_type="R"), INDEX(INDIRECT("RHPS["&amp;Z$10&amp;"]"),MATCH($H83,RHPS[helper],0),1), IF(AND(career_stage="P",teacher_type="TB"),INDEX(INDIRECT("TBPS["&amp;Z$10&amp;"]"),MATCH($H83,TBPS[helper],0),1), IF(AND(career_stage="HP",teacher_type="TB"),INDEX(INDIRECT("TBHPS["&amp;Z$10&amp;"]"),MATCH($H83,TBHPS[helper],0),1),"")))),""),"")</f>
        <v/>
      </c>
      <c r="AA83" s="391" t="str" cm="1">
        <f t="array" ref="AA83">IFERROR(INDEX(V83:Z83,6-AD81),"")</f>
        <v/>
      </c>
      <c r="AB83" s="680"/>
      <c r="AC83" s="680"/>
      <c r="AD83" s="680"/>
      <c r="AE83" s="682"/>
      <c r="AF83" s="661"/>
      <c r="AG83" s="5"/>
    </row>
    <row r="84" spans="1:33" hidden="1" x14ac:dyDescent="0.25">
      <c r="A84" s="92">
        <v>25</v>
      </c>
      <c r="B84" s="99" t="str" cm="1">
        <f t="array" ref="B84">IFERROR(IF(AND(teacher_type="R",career_stage="P"),INDEX(RPI[Strand],$A84),IF(AND(teacher_type="R",career_stage="HP"),INDEX(RHPI[Strand],$A84), IF(AND(teacher_type="TB",career_stage="P"),INDEX(TBPI[Strand],$A84), IF(AND(teacher_type="TB",career_stage="HP"),INDEX(TBHPI[Strand],$A84),0)))),0)</f>
        <v>5.2.2</v>
      </c>
      <c r="C84" s="99">
        <f>IFERROR(IF(AND(teacher_type="R",career_stage="P"),VLOOKUP($B84,RPI[[Strand]:[Domain]],COLUMNS(RPI[[Strand]:[Domain]]),FALSE), IF(AND(teacher_type="R",career_stage="HP"),VLOOKUP($B84,RHPI[[Strand]:[Domain]],COLUMNS(RHPI[[Strand]:[Domain]]),FALSE), IF(AND(teacher_type="TB",career_stage="P"),VLOOKUP($B84,TBPI[[Strand]:[Domain]],COLUMNS(TBPI[[Strand]:[Domain]]),FALSE), IF(AND(teacher_type="TB",career_stage="HP"),VLOOKUP($B84,TBHPI[[Strand]:[Domain]],COLUMNS(TBHPI[[Strand]:[Domain]]),FALSE),"")))),"")</f>
        <v>4</v>
      </c>
      <c r="D84" s="99" t="b">
        <f>IFERROR(IF(AND(career_stage="P",teacher_type="R"),VLOOKUP(B84,RPI[],COLUMNS(RPI[[Strand]:[Selected]]),FALSE), IF(AND(career_stage="HP",teacher_type="R"),VLOOKUP(B84,RHPI[],COLUMNS(RHPI[[Strand]:[Selected]]),FALSE), IF(AND(career_stage="P",teacher_type="TB"),VLOOKUP(B84,TBPI[],COLUMNS(TBPI[[Strand]:[Selected]]),FALSE), IF(AND(career_stage="HP",teacher_type="TB"),VLOOKUP(B84,TBHPI[],COLUMNS(TBHPI[[Strand]:[Selected]]),FALSE),FALSE)))),FALSE)</f>
        <v>0</v>
      </c>
      <c r="E84" s="92" t="b">
        <f>COUNTIFS($C$12:$C84,C84,$D$12:$D84,TRUE)=1</f>
        <v>0</v>
      </c>
      <c r="F84" s="92" t="b">
        <f>COUNTIFS($C$12:$C84,$C84,$B$12:$B84,$B84,$D$12:$D84,TRUE)=1</f>
        <v>0</v>
      </c>
      <c r="G84" s="99">
        <f>IF($F84,COUNTIFS($C$12:$C84,C84,$F$12:$F84,TRUE),0)</f>
        <v>0</v>
      </c>
      <c r="H84" s="99" t="str">
        <f t="shared" si="43"/>
        <v>5.2.2-Q</v>
      </c>
      <c r="I84" s="99">
        <f>IF(AND(D84,NOT($A84=$A83)),(COUNTIF($D$11:$D83,TRUE)/3)+1,0)</f>
        <v>0</v>
      </c>
      <c r="J84" s="99" t="s">
        <v>1012</v>
      </c>
      <c r="K84" s="99" t="b">
        <f>IF(AND(teacher_type="R",career_stage="P"),IF(AND(COUNTIFS(RPS[Strand],$B84,RPS[QET],$J84)&gt;0,$D84),TRUE,FALSE), IF(AND(teacher_type="R",career_stage="HP"),IF(AND(COUNTIFS(RHPS[Strand],$B84,RHPS[QET],$J84)&gt;0,$D84),TRUE,FALSE), IF(AND(teacher_type="TB",career_stage="P"),IF(AND(COUNTIFS(TBPS[Strand],$B84,TBPS[QET],$J84)&gt;0,$D84),TRUE,FALSE), IF(AND(teacher_type="TB",career_stage="HP"),IF(AND(COUNTIFS(TBHPS[Strand],$B84,TBHPS[QET],$J84)&gt;0,$D84),TRUE,FALSE),FALSE))))</f>
        <v>0</v>
      </c>
      <c r="L84" s="99" t="str">
        <f>IF($K84,IF(AND(teacher_type="R",career_stage="P"),VLOOKUP($B84,RPI[],COLUMNS(RPI[[Strand]:[user_selected_coi_ncoi]]),FALSE), IF(AND(teacher_type="R",career_stage="HP"),VLOOKUP($B84,RHPI[],COLUMNS(RHPI[[Strand]:[user_selected_coi_ncoi]]),FALSE), IF(AND(teacher_type="TB",career_stage="P"),VLOOKUP($B84,TBPI[],COLUMNS(TBPI[[Strand]:[user_selected_coi_ncoi]]),FALSE), IF(AND(teacher_type="TB",career_stage="HP"),VLOOKUP($B84,TBHPI[],COLUMNS(TBHPI[[Strand]:[user_selected_coi_ncoi]]),FALSE),"")))),"")</f>
        <v/>
      </c>
      <c r="M84" s="99" t="b">
        <f>IF(AND(teacher_type="R",career_stage="P"),IF(AND(COUNTIFS(RPS[Strand],$B84,RPS[QET],M$11)&gt;0,$D84),TRUE,FALSE),IF(AND(teacher_type="R",career_stage="HP"),IF(AND(COUNTIFS(RHPS[Strand],$B84,RHPS[QET],M$11)&gt;0,$D84),TRUE,FALSE), IF(AND(teacher_type="TB",career_stage="P"),IF(AND(COUNTIFS(TBPS[Strand],$B84,TBPS[QET],M$11)&gt;0,$D84),TRUE,FALSE), IF(AND(teacher_type="TB",career_stage="HP"),IF(AND(COUNTIFS(TBHPS[Strand],$B84,TBHPS[QET],M$11)&gt;0,$D84),TRUE,FALSE),FALSE))))</f>
        <v>0</v>
      </c>
      <c r="N84" s="99" t="b">
        <f>IF(AND(teacher_type="R",career_stage="P"),IF(AND(COUNTIFS(RPS[Strand],$B84,RPS[QET],N$11)&gt;0,$D84),TRUE,FALSE),IF(AND(teacher_type="R",career_stage="HP"),IF(AND(COUNTIFS(RHPS[Strand],$B84,RHPS[QET],N$11)&gt;0,$D84),TRUE,FALSE), IF(AND(teacher_type="TB",career_stage="P"),IF(AND(COUNTIFS(TBPS[Strand],$B84,TBPS[QET],N$11)&gt;0,$D84),TRUE,FALSE), IF(AND(teacher_type="TB",career_stage="HP"),IF(AND(COUNTIFS(TBHPS[Strand],$B84,TBHPS[QET],N$11)&gt;0,$D84),TRUE,FALSE),FALSE))))</f>
        <v>0</v>
      </c>
      <c r="O84" s="99" t="b">
        <f>IF(AND(teacher_type="R",career_stage="P"),IF(AND(COUNTIFS(RPS[Strand],$B84,RPS[QET],O$11)&gt;0,$D84),TRUE,FALSE),IF(AND(teacher_type="R",career_stage="HP"),IF(AND(COUNTIFS(RHPS[Strand],$B84,RHPS[QET],O$11)&gt;0,$D84),TRUE,FALSE), IF(AND(teacher_type="TB",career_stage="P"),IF(AND(COUNTIFS(TBPS[Strand],$B84,TBPS[QET],O$11)&gt;0,$D84),TRUE,FALSE), IF(AND(teacher_type="TB",career_stage="HP"),IF(AND(COUNTIFS(TBHPS[Strand],$B84,TBHPS[QET],O$11)&gt;0,$D84),TRUE,FALSE),FALSE))))</f>
        <v>0</v>
      </c>
      <c r="P84" s="710"/>
      <c r="Q84" s="662" t="str">
        <f>IFERROR(IF(E84,IF(C84="Plus Factor","Plus Factor",C84 &amp; ". " &amp; INDEX(Domains[Domain],MATCH(C84,Domains[Domain_code],0),1)),""),"")</f>
        <v/>
      </c>
      <c r="R84" s="663" t="str">
        <f>IFERROR(IF($F84,$I84 &amp; ". " &amp; IF(AND(career_stage="P",teacher_type="R"), INDEX(RPI[PPST Indicators],MATCH($B84,RPI[Strand],0),1), IF(AND(career_stage="HP",teacher_type="R"),INDEX(RHPI[PPST Indicators],MATCH($B84,RHPI[Strand],0),1), IF(AND(career_stage="P",teacher_type="TB"),INDEX(TBPI[PPST Indicators],MATCH($B84,TBPI[Strand],0),1), IF(AND(career_stage="HP",teacher_type="TB"),INDEX(TBHPI[PPST Indicators],MATCH($B84,TBHPI[Strand],0),1),"")))) &amp; IF(NOT(TRIM(LOWER($C84))="plus factor")," (PPST "&amp;B84&amp;")",""),""),"")</f>
        <v/>
      </c>
      <c r="S84" s="664" t="str" cm="1">
        <f t="array" ref="S84">demographics[rating_period]</f>
        <v>SY 2023-2024</v>
      </c>
      <c r="T84" s="678">
        <f>IFERROR(IF(AND(career_stage="P",teacher_type="R"),VLOOKUP(B84,RPI[],COLUMNS(RPI[[Strand]:[Weight]]),FALSE), IF(AND(career_stage="HP",teacher_type="R"),VLOOKUP(B84,RHPI[],COLUMNS(RHPI[[Strand]:[Weight]]),FALSE), IF(AND(career_stage="P",teacher_type="TB"),VLOOKUP(B84,TBPI[],COLUMNS(TBPI[[Strand]:[Weight]]),FALSE), IF(AND(career_stage="HP",teacher_type="TB"),VLOOKUP(B84,TBHPI[],COLUMNS(TBHPI[[Strand]:[Weight]]),FALSE),0)))),0)</f>
        <v>0</v>
      </c>
      <c r="U84" s="94" t="s">
        <v>1185</v>
      </c>
      <c r="V84" s="391" t="str">
        <f ca="1">IFERROR(IF($M84,IF(AND(career_stage="P",teacher_type="R"),INDEX(INDIRECT("RPS["&amp;V$10&amp;"]"),MATCH($H84,RPS[helper],0),1), IF(AND(career_stage="HP",teacher_type="R"), INDEX(INDIRECT("RHPS["&amp;V$10&amp;"]"),MATCH($H84,RHPS[helper],0),1), IF(AND(career_stage="P",teacher_type="TB"),INDEX(INDIRECT("TBPS["&amp;V$10&amp;"]"),MATCH($H84,TBPS[helper],0),1), IF(AND(career_stage="HP",teacher_type="TB"),INDEX(INDIRECT("TBHPS["&amp;V$10&amp;"]"),MATCH($H84,TBHPS[helper],0),1),"")))),""),"")</f>
        <v/>
      </c>
      <c r="W84" s="391" t="str">
        <f ca="1">IFERROR(IF($M84,IF(AND(career_stage="P",teacher_type="R"),INDEX(INDIRECT("RPS["&amp;W$10&amp;"]"),MATCH($H84,RPS[helper],0),1), IF(AND(career_stage="HP",teacher_type="R"), INDEX(INDIRECT("RHPS["&amp;W$10&amp;"]"),MATCH($H84,RHPS[helper],0),1), IF(AND(career_stage="P",teacher_type="TB"),INDEX(INDIRECT("TBPS["&amp;W$10&amp;"]"),MATCH($H84,TBPS[helper],0),1), IF(AND(career_stage="HP",teacher_type="TB"),INDEX(INDIRECT("TBHPS["&amp;W$10&amp;"]"),MATCH($H84,TBHPS[helper],0),1),"")))),""),"")</f>
        <v/>
      </c>
      <c r="X84" s="391" t="str">
        <f ca="1">IFERROR(IF($M84,IF(AND(career_stage="P",teacher_type="R"),INDEX(INDIRECT("RPS["&amp;X$10&amp;"]"),MATCH($H84,RPS[helper],0),1), IF(AND(career_stage="HP",teacher_type="R"), INDEX(INDIRECT("RHPS["&amp;X$10&amp;"]"),MATCH($H84,RHPS[helper],0),1), IF(AND(career_stage="P",teacher_type="TB"),INDEX(INDIRECT("TBPS["&amp;X$10&amp;"]"),MATCH($H84,TBPS[helper],0),1), IF(AND(career_stage="HP",teacher_type="TB"),INDEX(INDIRECT("TBHPS["&amp;X$10&amp;"]"),MATCH($H84,TBHPS[helper],0),1),"")))),""),"")</f>
        <v/>
      </c>
      <c r="Y84" s="391" t="str">
        <f ca="1">IFERROR(IF($M84,IF(AND(career_stage="P",teacher_type="R"),INDEX(INDIRECT("RPS["&amp;Y$10&amp;"]"),MATCH($H84,RPS[helper],0),1), IF(AND(career_stage="HP",teacher_type="R"), INDEX(INDIRECT("RHPS["&amp;Y$10&amp;"]"),MATCH($H84,RHPS[helper],0),1), IF(AND(career_stage="P",teacher_type="TB"),INDEX(INDIRECT("TBPS["&amp;Y$10&amp;"]"),MATCH($H84,TBPS[helper],0),1), IF(AND(career_stage="HP",teacher_type="TB"),INDEX(INDIRECT("TBHPS["&amp;Y$10&amp;"]"),MATCH($H84,TBHPS[helper],0),1),"")))),""),"")</f>
        <v/>
      </c>
      <c r="Z84" s="391" t="str">
        <f ca="1">IFERROR(IF($M84,IF(AND(career_stage="P",teacher_type="R"),INDEX(INDIRECT("RPS["&amp;Z$10&amp;"]"),MATCH($H84,RPS[helper],0),1), IF(AND(career_stage="HP",teacher_type="R"), INDEX(INDIRECT("RHPS["&amp;Z$10&amp;"]"),MATCH($H84,RHPS[helper],0),1), IF(AND(career_stage="P",teacher_type="TB"),INDEX(INDIRECT("TBPS["&amp;Z$10&amp;"]"),MATCH($H84,TBPS[helper],0),1), IF(AND(career_stage="HP",teacher_type="TB"),INDEX(INDIRECT("TBHPS["&amp;Z$10&amp;"]"),MATCH($H84,TBHPS[helper],0),1),"")))),""),"")</f>
        <v/>
      </c>
      <c r="AA84" s="392" t="str" cm="1">
        <f t="array" ref="AA84">IFERROR(INDEX(V84:Z84,6-AB84),"")</f>
        <v/>
      </c>
      <c r="AB84" s="680" t="str">
        <f>IF('Encoding Part 1'!AB46="","",'Encoding Part 1'!AB46)</f>
        <v/>
      </c>
      <c r="AC84" s="680" t="str">
        <f>IF('Encoding Part 1'!AC46="","",'Encoding Part 1'!AC46)</f>
        <v/>
      </c>
      <c r="AD84" s="680" t="str">
        <f>IF('Encoding Part 1'!AD46="","",'Encoding Part 1'!AD46)</f>
        <v/>
      </c>
      <c r="AE84" s="682">
        <f t="shared" ref="AE84" si="48">IFERROR(ROUNDDOWN(AVERAGE($AB84:$AD84),3),0)</f>
        <v>0</v>
      </c>
      <c r="AF84" s="661">
        <f t="shared" ref="AF84" si="49">ROUNDDOWN($AE84*$T84,3)</f>
        <v>0</v>
      </c>
      <c r="AG84" s="5"/>
    </row>
    <row r="85" spans="1:33" hidden="1" x14ac:dyDescent="0.25">
      <c r="A85" s="92">
        <v>25</v>
      </c>
      <c r="B85" s="99" t="str" cm="1">
        <f t="array" ref="B85">IFERROR(IF(AND(teacher_type="R",career_stage="P"),INDEX(RPI[Strand],$A85),IF(AND(teacher_type="R",career_stage="HP"),INDEX(RHPI[Strand],$A85), IF(AND(teacher_type="TB",career_stage="P"),INDEX(TBPI[Strand],$A85), IF(AND(teacher_type="TB",career_stage="HP"),INDEX(TBHPI[Strand],$A85),0)))),0)</f>
        <v>5.2.2</v>
      </c>
      <c r="C85" s="99">
        <f>IFERROR(IF(AND(teacher_type="R",career_stage="P"),VLOOKUP($B85,RPI[[Strand]:[Domain]],COLUMNS(RPI[[Strand]:[Domain]]),FALSE), IF(AND(teacher_type="R",career_stage="HP"),VLOOKUP($B85,RHPI[[Strand]:[Domain]],COLUMNS(RHPI[[Strand]:[Domain]]),FALSE), IF(AND(teacher_type="TB",career_stage="P"),VLOOKUP($B85,TBPI[[Strand]:[Domain]],COLUMNS(TBPI[[Strand]:[Domain]]),FALSE), IF(AND(teacher_type="TB",career_stage="HP"),VLOOKUP($B85,TBHPI[[Strand]:[Domain]],COLUMNS(TBHPI[[Strand]:[Domain]]),FALSE),"")))),"")</f>
        <v>4</v>
      </c>
      <c r="D85" s="99" t="b">
        <f>IFERROR(IF(AND(career_stage="P",teacher_type="R"),VLOOKUP(B85,RPI[],COLUMNS(RPI[[Strand]:[Selected]]),FALSE), IF(AND(career_stage="HP",teacher_type="R"),VLOOKUP(B85,RHPI[],COLUMNS(RHPI[[Strand]:[Selected]]),FALSE), IF(AND(career_stage="P",teacher_type="TB"),VLOOKUP(B85,TBPI[],COLUMNS(TBPI[[Strand]:[Selected]]),FALSE), IF(AND(career_stage="HP",teacher_type="TB"),VLOOKUP(B85,TBHPI[],COLUMNS(TBHPI[[Strand]:[Selected]]),FALSE),FALSE)))),FALSE)</f>
        <v>0</v>
      </c>
      <c r="E85" s="92" t="b">
        <f>COUNTIFS($C$12:$C85,C85,$D$12:$D85,TRUE)=1</f>
        <v>0</v>
      </c>
      <c r="F85" s="92" t="b">
        <f>COUNTIFS($C$12:$C85,$C85,$B$12:$B85,$B85,$D$12:$D85,TRUE)=1</f>
        <v>0</v>
      </c>
      <c r="G85" s="99">
        <f>IF($F85,COUNTIFS($C$12:$C85,C85,$F$12:$F85,TRUE),0)</f>
        <v>0</v>
      </c>
      <c r="H85" s="99" t="str">
        <f t="shared" si="43"/>
        <v>5.2.2-E</v>
      </c>
      <c r="I85" s="99">
        <f>IF(AND(D85,NOT($A85=$A84)),(COUNTIF($D$11:$D84,TRUE)/3)+1,0)</f>
        <v>0</v>
      </c>
      <c r="J85" s="99" t="s">
        <v>1073</v>
      </c>
      <c r="K85" s="99" t="b">
        <f>IF(AND(teacher_type="R",career_stage="P"),IF(AND(COUNTIFS(RPS[Strand],$B85,RPS[QET],$J85)&gt;0,$D85),TRUE,FALSE), IF(AND(teacher_type="R",career_stage="HP"),IF(AND(COUNTIFS(RHPS[Strand],$B85,RHPS[QET],$J85)&gt;0,$D85),TRUE,FALSE), IF(AND(teacher_type="TB",career_stage="P"),IF(AND(COUNTIFS(TBPS[Strand],$B85,TBPS[QET],$J85)&gt;0,$D85),TRUE,FALSE), IF(AND(teacher_type="TB",career_stage="HP"),IF(AND(COUNTIFS(TBHPS[Strand],$B85,TBHPS[QET],$J85)&gt;0,$D85),TRUE,FALSE),FALSE))))</f>
        <v>0</v>
      </c>
      <c r="L85" s="99" t="str">
        <f>IF($K85,IF(AND(teacher_type="R",career_stage="P"),VLOOKUP($B85,RPI[],COLUMNS(RPI[[Strand]:[user_selected_coi_ncoi]]),FALSE), IF(AND(teacher_type="R",career_stage="HP"),VLOOKUP($B85,RHPI[],COLUMNS(RHPI[[Strand]:[user_selected_coi_ncoi]]),FALSE), IF(AND(teacher_type="TB",career_stage="P"),VLOOKUP($B85,TBPI[],COLUMNS(TBPI[[Strand]:[user_selected_coi_ncoi]]),FALSE), IF(AND(teacher_type="TB",career_stage="HP"),VLOOKUP($B85,TBHPI[],COLUMNS(TBHPI[[Strand]:[user_selected_coi_ncoi]]),FALSE),"")))),"")</f>
        <v/>
      </c>
      <c r="M85" s="99" t="b">
        <f>IF(AND(teacher_type="R",career_stage="P"),IF(AND(COUNTIFS(RPS[Strand],$B85,RPS[QET],M$11)&gt;0,$D85),TRUE,FALSE),IF(AND(teacher_type="R",career_stage="HP"),IF(AND(COUNTIFS(RHPS[Strand],$B85,RHPS[QET],M$11)&gt;0,$D85),TRUE,FALSE), IF(AND(teacher_type="TB",career_stage="P"),IF(AND(COUNTIFS(TBPS[Strand],$B85,TBPS[QET],M$11)&gt;0,$D85),TRUE,FALSE), IF(AND(teacher_type="TB",career_stage="HP"),IF(AND(COUNTIFS(TBHPS[Strand],$B85,TBHPS[QET],M$11)&gt;0,$D85),TRUE,FALSE),FALSE))))</f>
        <v>0</v>
      </c>
      <c r="N85" s="99" t="b">
        <f>IF(AND(teacher_type="R",career_stage="P"),IF(AND(COUNTIFS(RPS[Strand],$B85,RPS[QET],N$11)&gt;0,$D85),TRUE,FALSE),IF(AND(teacher_type="R",career_stage="HP"),IF(AND(COUNTIFS(RHPS[Strand],$B85,RHPS[QET],N$11)&gt;0,$D85),TRUE,FALSE), IF(AND(teacher_type="TB",career_stage="P"),IF(AND(COUNTIFS(TBPS[Strand],$B85,TBPS[QET],N$11)&gt;0,$D85),TRUE,FALSE), IF(AND(teacher_type="TB",career_stage="HP"),IF(AND(COUNTIFS(TBHPS[Strand],$B85,TBHPS[QET],N$11)&gt;0,$D85),TRUE,FALSE),FALSE))))</f>
        <v>0</v>
      </c>
      <c r="O85" s="99" t="b">
        <f>IF(AND(teacher_type="R",career_stage="P"),IF(AND(COUNTIFS(RPS[Strand],$B85,RPS[QET],O$11)&gt;0,$D85),TRUE,FALSE),IF(AND(teacher_type="R",career_stage="HP"),IF(AND(COUNTIFS(RHPS[Strand],$B85,RHPS[QET],O$11)&gt;0,$D85),TRUE,FALSE), IF(AND(teacher_type="TB",career_stage="P"),IF(AND(COUNTIFS(TBPS[Strand],$B85,TBPS[QET],O$11)&gt;0,$D85),TRUE,FALSE), IF(AND(teacher_type="TB",career_stage="HP"),IF(AND(COUNTIFS(TBHPS[Strand],$B85,TBHPS[QET],O$11)&gt;0,$D85),TRUE,FALSE),FALSE))))</f>
        <v>0</v>
      </c>
      <c r="P85" s="710"/>
      <c r="Q85" s="662"/>
      <c r="R85" s="663"/>
      <c r="S85" s="664"/>
      <c r="T85" s="678"/>
      <c r="U85" s="94" t="s">
        <v>1186</v>
      </c>
      <c r="V85" s="391" t="str">
        <f ca="1">IFERROR(IF($N85,IF(AND(career_stage="P",teacher_type="R"),INDEX(INDIRECT("RPS["&amp;V$10&amp;"]"),MATCH($H85,RPS[helper],0),1), IF(AND(career_stage="HP",teacher_type="R"), INDEX(INDIRECT("RHPS["&amp;V$10&amp;"]"),MATCH($H85,RHPS[helper],0),1), IF(AND(career_stage="P",teacher_type="TB"),INDEX(INDIRECT("TBPS["&amp;V$10&amp;"]"),MATCH($H85,TBPS[helper],0),1), IF(AND(career_stage="HP",teacher_type="TB"),INDEX(INDIRECT("TBHPS["&amp;V$10&amp;"]"),MATCH($H85,TBHPS[helper],0),1),"")))),""),"")</f>
        <v/>
      </c>
      <c r="W85" s="391" t="str">
        <f ca="1">IFERROR(IF($N85,IF(AND(career_stage="P",teacher_type="R"),INDEX(INDIRECT("RPS["&amp;W$10&amp;"]"),MATCH($H85,RPS[helper],0),1), IF(AND(career_stage="HP",teacher_type="R"), INDEX(INDIRECT("RHPS["&amp;W$10&amp;"]"),MATCH($H85,RHPS[helper],0),1), IF(AND(career_stage="P",teacher_type="TB"),INDEX(INDIRECT("TBPS["&amp;W$10&amp;"]"),MATCH($H85,TBPS[helper],0),1), IF(AND(career_stage="HP",teacher_type="TB"),INDEX(INDIRECT("TBHPS["&amp;W$10&amp;"]"),MATCH($H85,TBHPS[helper],0),1),"")))),""),"")</f>
        <v/>
      </c>
      <c r="X85" s="391" t="str">
        <f ca="1">IFERROR(IF($N85,IF(AND(career_stage="P",teacher_type="R"),INDEX(INDIRECT("RPS["&amp;X$10&amp;"]"),MATCH($H85,RPS[helper],0),1), IF(AND(career_stage="HP",teacher_type="R"), INDEX(INDIRECT("RHPS["&amp;X$10&amp;"]"),MATCH($H85,RHPS[helper],0),1), IF(AND(career_stage="P",teacher_type="TB"),INDEX(INDIRECT("TBPS["&amp;X$10&amp;"]"),MATCH($H85,TBPS[helper],0),1), IF(AND(career_stage="HP",teacher_type="TB"),INDEX(INDIRECT("TBHPS["&amp;X$10&amp;"]"),MATCH($H85,TBHPS[helper],0),1),"")))),""),"")</f>
        <v/>
      </c>
      <c r="Y85" s="391" t="str">
        <f ca="1">IFERROR(IF($N85,IF(AND(career_stage="P",teacher_type="R"),INDEX(INDIRECT("RPS["&amp;Y$10&amp;"]"),MATCH($H85,RPS[helper],0),1), IF(AND(career_stage="HP",teacher_type="R"), INDEX(INDIRECT("RHPS["&amp;Y$10&amp;"]"),MATCH($H85,RHPS[helper],0),1), IF(AND(career_stage="P",teacher_type="TB"),INDEX(INDIRECT("TBPS["&amp;Y$10&amp;"]"),MATCH($H85,TBPS[helper],0),1), IF(AND(career_stage="HP",teacher_type="TB"),INDEX(INDIRECT("TBHPS["&amp;Y$10&amp;"]"),MATCH($H85,TBHPS[helper],0),1),"")))),""),"")</f>
        <v/>
      </c>
      <c r="Z85" s="391" t="str">
        <f ca="1">IFERROR(IF($N85,IF(AND(career_stage="P",teacher_type="R"),INDEX(INDIRECT("RPS["&amp;Z$10&amp;"]"),MATCH($H85,RPS[helper],0),1), IF(AND(career_stage="HP",teacher_type="R"), INDEX(INDIRECT("RHPS["&amp;Z$10&amp;"]"),MATCH($H85,RHPS[helper],0),1), IF(AND(career_stage="P",teacher_type="TB"),INDEX(INDIRECT("TBPS["&amp;Z$10&amp;"]"),MATCH($H85,TBPS[helper],0),1), IF(AND(career_stage="HP",teacher_type="TB"),INDEX(INDIRECT("TBHPS["&amp;Z$10&amp;"]"),MATCH($H85,TBHPS[helper],0),1),"")))),""),"")</f>
        <v/>
      </c>
      <c r="AA85" s="392" t="str" cm="1">
        <f t="array" ref="AA85">IFERROR(INDEX(V85:Z85,6-AC84),"")</f>
        <v/>
      </c>
      <c r="AB85" s="680"/>
      <c r="AC85" s="680"/>
      <c r="AD85" s="680"/>
      <c r="AE85" s="682"/>
      <c r="AF85" s="661"/>
      <c r="AG85" s="5"/>
    </row>
    <row r="86" spans="1:33" hidden="1" x14ac:dyDescent="0.25">
      <c r="A86" s="92">
        <v>25</v>
      </c>
      <c r="B86" s="99" t="str" cm="1">
        <f t="array" ref="B86">IFERROR(IF(AND(teacher_type="R",career_stage="P"),INDEX(RPI[Strand],$A86),IF(AND(teacher_type="R",career_stage="HP"),INDEX(RHPI[Strand],$A86), IF(AND(teacher_type="TB",career_stage="P"),INDEX(TBPI[Strand],$A86), IF(AND(teacher_type="TB",career_stage="HP"),INDEX(TBHPI[Strand],$A86),0)))),0)</f>
        <v>5.2.2</v>
      </c>
      <c r="C86" s="99">
        <f>IFERROR(IF(AND(teacher_type="R",career_stage="P"),VLOOKUP($B86,RPI[[Strand]:[Domain]],COLUMNS(RPI[[Strand]:[Domain]]),FALSE), IF(AND(teacher_type="R",career_stage="HP"),VLOOKUP($B86,RHPI[[Strand]:[Domain]],COLUMNS(RHPI[[Strand]:[Domain]]),FALSE), IF(AND(teacher_type="TB",career_stage="P"),VLOOKUP($B86,TBPI[[Strand]:[Domain]],COLUMNS(TBPI[[Strand]:[Domain]]),FALSE), IF(AND(teacher_type="TB",career_stage="HP"),VLOOKUP($B86,TBHPI[[Strand]:[Domain]],COLUMNS(TBHPI[[Strand]:[Domain]]),FALSE),"")))),"")</f>
        <v>4</v>
      </c>
      <c r="D86" s="99" t="b">
        <f>IFERROR(IF(AND(career_stage="P",teacher_type="R"),VLOOKUP(B86,RPI[],COLUMNS(RPI[[Strand]:[Selected]]),FALSE), IF(AND(career_stage="HP",teacher_type="R"),VLOOKUP(B86,RHPI[],COLUMNS(RHPI[[Strand]:[Selected]]),FALSE), IF(AND(career_stage="P",teacher_type="TB"),VLOOKUP(B86,TBPI[],COLUMNS(TBPI[[Strand]:[Selected]]),FALSE), IF(AND(career_stage="HP",teacher_type="TB"),VLOOKUP(B86,TBHPI[],COLUMNS(TBHPI[[Strand]:[Selected]]),FALSE),FALSE)))),FALSE)</f>
        <v>0</v>
      </c>
      <c r="E86" s="92" t="b">
        <f>COUNTIFS($C$12:$C86,C86,$D$12:$D86,TRUE)=1</f>
        <v>0</v>
      </c>
      <c r="F86" s="92" t="b">
        <f>COUNTIFS($C$12:$C86,$C86,$B$12:$B86,$B86,$D$12:$D86,TRUE)=1</f>
        <v>0</v>
      </c>
      <c r="G86" s="99">
        <f>IF($F86,COUNTIFS($C$12:$C86,C86,$F$12:$F86,TRUE),0)</f>
        <v>0</v>
      </c>
      <c r="H86" s="99" t="str">
        <f t="shared" si="43"/>
        <v>5.2.2-T</v>
      </c>
      <c r="I86" s="99">
        <f>IF(AND(D86,NOT($A86=$A85)),(COUNTIF($D$11:$D85,TRUE)/3)+1,0)</f>
        <v>0</v>
      </c>
      <c r="J86" s="99" t="s">
        <v>1014</v>
      </c>
      <c r="K86" s="99" t="b">
        <f>IF(AND(teacher_type="R",career_stage="P"),IF(AND(COUNTIFS(RPS[Strand],$B86,RPS[QET],$J86)&gt;0,$D86),TRUE,FALSE), IF(AND(teacher_type="R",career_stage="HP"),IF(AND(COUNTIFS(RHPS[Strand],$B86,RHPS[QET],$J86)&gt;0,$D86),TRUE,FALSE), IF(AND(teacher_type="TB",career_stage="P"),IF(AND(COUNTIFS(TBPS[Strand],$B86,TBPS[QET],$J86)&gt;0,$D86),TRUE,FALSE), IF(AND(teacher_type="TB",career_stage="HP"),IF(AND(COUNTIFS(TBHPS[Strand],$B86,TBHPS[QET],$J86)&gt;0,$D86),TRUE,FALSE),FALSE))))</f>
        <v>0</v>
      </c>
      <c r="L86" s="99" t="str">
        <f>IF($K86,IF(AND(teacher_type="R",career_stage="P"),VLOOKUP($B86,RPI[],COLUMNS(RPI[[Strand]:[user_selected_coi_ncoi]]),FALSE), IF(AND(teacher_type="R",career_stage="HP"),VLOOKUP($B86,RHPI[],COLUMNS(RHPI[[Strand]:[user_selected_coi_ncoi]]),FALSE), IF(AND(teacher_type="TB",career_stage="P"),VLOOKUP($B86,TBPI[],COLUMNS(TBPI[[Strand]:[user_selected_coi_ncoi]]),FALSE), IF(AND(teacher_type="TB",career_stage="HP"),VLOOKUP($B86,TBHPI[],COLUMNS(TBHPI[[Strand]:[user_selected_coi_ncoi]]),FALSE),"")))),"")</f>
        <v/>
      </c>
      <c r="M86" s="99" t="b">
        <f>IF(AND(teacher_type="R",career_stage="P"),IF(AND(COUNTIFS(RPS[Strand],$B86,RPS[QET],M$11)&gt;0,$D86),TRUE,FALSE),IF(AND(teacher_type="R",career_stage="HP"),IF(AND(COUNTIFS(RHPS[Strand],$B86,RHPS[QET],M$11)&gt;0,$D86),TRUE,FALSE), IF(AND(teacher_type="TB",career_stage="P"),IF(AND(COUNTIFS(TBPS[Strand],$B86,TBPS[QET],M$11)&gt;0,$D86),TRUE,FALSE), IF(AND(teacher_type="TB",career_stage="HP"),IF(AND(COUNTIFS(TBHPS[Strand],$B86,TBHPS[QET],M$11)&gt;0,$D86),TRUE,FALSE),FALSE))))</f>
        <v>0</v>
      </c>
      <c r="N86" s="99" t="b">
        <f>IF(AND(teacher_type="R",career_stage="P"),IF(AND(COUNTIFS(RPS[Strand],$B86,RPS[QET],N$11)&gt;0,$D86),TRUE,FALSE),IF(AND(teacher_type="R",career_stage="HP"),IF(AND(COUNTIFS(RHPS[Strand],$B86,RHPS[QET],N$11)&gt;0,$D86),TRUE,FALSE), IF(AND(teacher_type="TB",career_stage="P"),IF(AND(COUNTIFS(TBPS[Strand],$B86,TBPS[QET],N$11)&gt;0,$D86),TRUE,FALSE), IF(AND(teacher_type="TB",career_stage="HP"),IF(AND(COUNTIFS(TBHPS[Strand],$B86,TBHPS[QET],N$11)&gt;0,$D86),TRUE,FALSE),FALSE))))</f>
        <v>0</v>
      </c>
      <c r="O86" s="99" t="b">
        <f>IF(AND(teacher_type="R",career_stage="P"),IF(AND(COUNTIFS(RPS[Strand],$B86,RPS[QET],O$11)&gt;0,$D86),TRUE,FALSE),IF(AND(teacher_type="R",career_stage="HP"),IF(AND(COUNTIFS(RHPS[Strand],$B86,RHPS[QET],O$11)&gt;0,$D86),TRUE,FALSE), IF(AND(teacher_type="TB",career_stage="P"),IF(AND(COUNTIFS(TBPS[Strand],$B86,TBPS[QET],O$11)&gt;0,$D86),TRUE,FALSE), IF(AND(teacher_type="TB",career_stage="HP"),IF(AND(COUNTIFS(TBHPS[Strand],$B86,TBHPS[QET],O$11)&gt;0,$D86),TRUE,FALSE),FALSE))))</f>
        <v>0</v>
      </c>
      <c r="P86" s="710"/>
      <c r="Q86" s="662"/>
      <c r="R86" s="663"/>
      <c r="S86" s="664"/>
      <c r="T86" s="678"/>
      <c r="U86" s="94" t="s">
        <v>1187</v>
      </c>
      <c r="V86" s="391" t="str">
        <f ca="1">IFERROR(IF($O86,IF(AND(career_stage="P",teacher_type="R"),INDEX(INDIRECT("RPS["&amp;V$10&amp;"]"),MATCH($H86,RPS[helper],0),1), IF(AND(career_stage="HP",teacher_type="R"), INDEX(INDIRECT("RHPS["&amp;V$10&amp;"]"),MATCH($H86,RHPS[helper],0),1), IF(AND(career_stage="P",teacher_type="TB"),INDEX(INDIRECT("TBPS["&amp;V$10&amp;"]"),MATCH($H86,TBPS[helper],0),1), IF(AND(career_stage="HP",teacher_type="TB"),INDEX(INDIRECT("TBHPS["&amp;V$10&amp;"]"),MATCH($H86,TBHPS[helper],0),1),"")))),""),"")</f>
        <v/>
      </c>
      <c r="W86" s="391" t="str">
        <f ca="1">IFERROR(IF($O86,IF(AND(career_stage="P",teacher_type="R"),INDEX(INDIRECT("RPS["&amp;W$10&amp;"]"),MATCH($H86,RPS[helper],0),1), IF(AND(career_stage="HP",teacher_type="R"), INDEX(INDIRECT("RHPS["&amp;W$10&amp;"]"),MATCH($H86,RHPS[helper],0),1), IF(AND(career_stage="P",teacher_type="TB"),INDEX(INDIRECT("TBPS["&amp;W$10&amp;"]"),MATCH($H86,TBPS[helper],0),1), IF(AND(career_stage="HP",teacher_type="TB"),INDEX(INDIRECT("TBHPS["&amp;W$10&amp;"]"),MATCH($H86,TBHPS[helper],0),1),"")))),""),"")</f>
        <v/>
      </c>
      <c r="X86" s="391" t="str">
        <f ca="1">IFERROR(IF($O86,IF(AND(career_stage="P",teacher_type="R"),INDEX(INDIRECT("RPS["&amp;X$10&amp;"]"),MATCH($H86,RPS[helper],0),1), IF(AND(career_stage="HP",teacher_type="R"), INDEX(INDIRECT("RHPS["&amp;X$10&amp;"]"),MATCH($H86,RHPS[helper],0),1), IF(AND(career_stage="P",teacher_type="TB"),INDEX(INDIRECT("TBPS["&amp;X$10&amp;"]"),MATCH($H86,TBPS[helper],0),1), IF(AND(career_stage="HP",teacher_type="TB"),INDEX(INDIRECT("TBHPS["&amp;X$10&amp;"]"),MATCH($H86,TBHPS[helper],0),1),"")))),""),"")</f>
        <v/>
      </c>
      <c r="Y86" s="391" t="str">
        <f ca="1">IFERROR(IF($O86,IF(AND(career_stage="P",teacher_type="R"),INDEX(INDIRECT("RPS["&amp;Y$10&amp;"]"),MATCH($H86,RPS[helper],0),1), IF(AND(career_stage="HP",teacher_type="R"), INDEX(INDIRECT("RHPS["&amp;Y$10&amp;"]"),MATCH($H86,RHPS[helper],0),1), IF(AND(career_stage="P",teacher_type="TB"),INDEX(INDIRECT("TBPS["&amp;Y$10&amp;"]"),MATCH($H86,TBPS[helper],0),1), IF(AND(career_stage="HP",teacher_type="TB"),INDEX(INDIRECT("TBHPS["&amp;Y$10&amp;"]"),MATCH($H86,TBHPS[helper],0),1),"")))),""),"")</f>
        <v/>
      </c>
      <c r="Z86" s="391" t="str">
        <f ca="1">IFERROR(IF($O86,IF(AND(career_stage="P",teacher_type="R"),INDEX(INDIRECT("RPS["&amp;Z$10&amp;"]"),MATCH($H86,RPS[helper],0),1), IF(AND(career_stage="HP",teacher_type="R"), INDEX(INDIRECT("RHPS["&amp;Z$10&amp;"]"),MATCH($H86,RHPS[helper],0),1), IF(AND(career_stage="P",teacher_type="TB"),INDEX(INDIRECT("TBPS["&amp;Z$10&amp;"]"),MATCH($H86,TBPS[helper],0),1), IF(AND(career_stage="HP",teacher_type="TB"),INDEX(INDIRECT("TBHPS["&amp;Z$10&amp;"]"),MATCH($H86,TBHPS[helper],0),1),"")))),""),"")</f>
        <v/>
      </c>
      <c r="AA86" s="391" t="str" cm="1">
        <f t="array" ref="AA86">IFERROR(INDEX(V86:Z86,6-AD84),"")</f>
        <v/>
      </c>
      <c r="AB86" s="680"/>
      <c r="AC86" s="680"/>
      <c r="AD86" s="680"/>
      <c r="AE86" s="682"/>
      <c r="AF86" s="661"/>
      <c r="AG86" s="5"/>
    </row>
    <row r="87" spans="1:33" ht="102" x14ac:dyDescent="0.25">
      <c r="A87" s="92">
        <v>26</v>
      </c>
      <c r="B87" s="99" t="str" cm="1">
        <f t="array" ref="B87">IFERROR(IF(AND(teacher_type="R",career_stage="P"),INDEX(RPI[Strand],$A87),IF(AND(teacher_type="R",career_stage="HP"),INDEX(RHPI[Strand],$A87), IF(AND(teacher_type="TB",career_stage="P"),INDEX(TBPI[Strand],$A87), IF(AND(teacher_type="TB",career_stage="HP"),INDEX(TBHPI[Strand],$A87),0)))),0)</f>
        <v>5.3.2</v>
      </c>
      <c r="C87" s="99">
        <f>IFERROR(IF(AND(teacher_type="R",career_stage="P"),VLOOKUP($B87,RPI[[Strand]:[Domain]],COLUMNS(RPI[[Strand]:[Domain]]),FALSE), IF(AND(teacher_type="R",career_stage="HP"),VLOOKUP($B87,RHPI[[Strand]:[Domain]],COLUMNS(RHPI[[Strand]:[Domain]]),FALSE), IF(AND(teacher_type="TB",career_stage="P"),VLOOKUP($B87,TBPI[[Strand]:[Domain]],COLUMNS(TBPI[[Strand]:[Domain]]),FALSE), IF(AND(teacher_type="TB",career_stage="HP"),VLOOKUP($B87,TBHPI[[Strand]:[Domain]],COLUMNS(TBHPI[[Strand]:[Domain]]),FALSE),"")))),"")</f>
        <v>3</v>
      </c>
      <c r="D87" s="99" t="b">
        <f>IFERROR(IF(AND(career_stage="P",teacher_type="R"),VLOOKUP(B87,RPI[],COLUMNS(RPI[[Strand]:[Selected]]),FALSE), IF(AND(career_stage="HP",teacher_type="R"),VLOOKUP(B87,RHPI[],COLUMNS(RHPI[[Strand]:[Selected]]),FALSE), IF(AND(career_stage="P",teacher_type="TB"),VLOOKUP(B87,TBPI[],COLUMNS(TBPI[[Strand]:[Selected]]),FALSE), IF(AND(career_stage="HP",teacher_type="TB"),VLOOKUP(B87,TBHPI[],COLUMNS(TBHPI[[Strand]:[Selected]]),FALSE),FALSE)))),FALSE)</f>
        <v>1</v>
      </c>
      <c r="E87" s="92" t="b">
        <f>COUNTIFS($C$12:$C87,C87,$D$12:$D87,TRUE)=1</f>
        <v>0</v>
      </c>
      <c r="F87" s="92" t="b">
        <f>COUNTIFS($C$12:$C87,$C87,$B$12:$B87,$B87,$D$12:$D87,TRUE)=1</f>
        <v>1</v>
      </c>
      <c r="G87" s="99">
        <f>IF($F87,COUNTIFS($C$12:$C87,C87,$F$12:$F87,TRUE),0)</f>
        <v>2</v>
      </c>
      <c r="H87" s="99" t="str">
        <f t="shared" si="43"/>
        <v>5.3.2-Q-COI</v>
      </c>
      <c r="I87" s="99">
        <f>IF(AND(D87,NOT($A87=$A86)),(COUNTIF($D$11:$D86,TRUE)/3)+1,0)</f>
        <v>10</v>
      </c>
      <c r="J87" s="99" t="s">
        <v>1012</v>
      </c>
      <c r="K87" s="99" t="b">
        <f>IF(AND(teacher_type="R",career_stage="P"),IF(AND(COUNTIFS(RPS[Strand],$B87,RPS[QET],$J87)&gt;0,$D87),TRUE,FALSE), IF(AND(teacher_type="R",career_stage="HP"),IF(AND(COUNTIFS(RHPS[Strand],$B87,RHPS[QET],$J87)&gt;0,$D87),TRUE,FALSE), IF(AND(teacher_type="TB",career_stage="P"),IF(AND(COUNTIFS(TBPS[Strand],$B87,TBPS[QET],$J87)&gt;0,$D87),TRUE,FALSE), IF(AND(teacher_type="TB",career_stage="HP"),IF(AND(COUNTIFS(TBHPS[Strand],$B87,TBHPS[QET],$J87)&gt;0,$D87),TRUE,FALSE),FALSE))))</f>
        <v>1</v>
      </c>
      <c r="L87" s="99" t="str">
        <f>IF($K87,IF(AND(teacher_type="R",career_stage="P"),VLOOKUP($B87,RPI[],COLUMNS(RPI[[Strand]:[user_selected_coi_ncoi]]),FALSE), IF(AND(teacher_type="R",career_stage="HP"),VLOOKUP($B87,RHPI[],COLUMNS(RHPI[[Strand]:[user_selected_coi_ncoi]]),FALSE), IF(AND(teacher_type="TB",career_stage="P"),VLOOKUP($B87,TBPI[],COLUMNS(TBPI[[Strand]:[user_selected_coi_ncoi]]),FALSE), IF(AND(teacher_type="TB",career_stage="HP"),VLOOKUP($B87,TBHPI[],COLUMNS(TBHPI[[Strand]:[user_selected_coi_ncoi]]),FALSE),"")))),"")</f>
        <v>COI</v>
      </c>
      <c r="M87" s="99" t="b">
        <f>IF(AND(teacher_type="R",career_stage="P"),IF(AND(COUNTIFS(RPS[Strand],$B87,RPS[QET],M$11)&gt;0,$D87),TRUE,FALSE),IF(AND(teacher_type="R",career_stage="HP"),IF(AND(COUNTIFS(RHPS[Strand],$B87,RHPS[QET],M$11)&gt;0,$D87),TRUE,FALSE), IF(AND(teacher_type="TB",career_stage="P"),IF(AND(COUNTIFS(TBPS[Strand],$B87,TBPS[QET],M$11)&gt;0,$D87),TRUE,FALSE), IF(AND(teacher_type="TB",career_stage="HP"),IF(AND(COUNTIFS(TBHPS[Strand],$B87,TBHPS[QET],M$11)&gt;0,$D87),TRUE,FALSE),FALSE))))</f>
        <v>1</v>
      </c>
      <c r="N87" s="99" t="b">
        <f>IF(AND(teacher_type="R",career_stage="P"),IF(AND(COUNTIFS(RPS[Strand],$B87,RPS[QET],N$11)&gt;0,$D87),TRUE,FALSE),IF(AND(teacher_type="R",career_stage="HP"),IF(AND(COUNTIFS(RHPS[Strand],$B87,RHPS[QET],N$11)&gt;0,$D87),TRUE,FALSE), IF(AND(teacher_type="TB",career_stage="P"),IF(AND(COUNTIFS(TBPS[Strand],$B87,TBPS[QET],N$11)&gt;0,$D87),TRUE,FALSE), IF(AND(teacher_type="TB",career_stage="HP"),IF(AND(COUNTIFS(TBHPS[Strand],$B87,TBHPS[QET],N$11)&gt;0,$D87),TRUE,FALSE),FALSE))))</f>
        <v>1</v>
      </c>
      <c r="O87" s="99" t="b">
        <f>IF(AND(teacher_type="R",career_stage="P"),IF(AND(COUNTIFS(RPS[Strand],$B87,RPS[QET],O$11)&gt;0,$D87),TRUE,FALSE),IF(AND(teacher_type="R",career_stage="HP"),IF(AND(COUNTIFS(RHPS[Strand],$B87,RHPS[QET],O$11)&gt;0,$D87),TRUE,FALSE), IF(AND(teacher_type="TB",career_stage="P"),IF(AND(COUNTIFS(TBPS[Strand],$B87,TBPS[QET],O$11)&gt;0,$D87),TRUE,FALSE), IF(AND(teacher_type="TB",career_stage="HP"),IF(AND(COUNTIFS(TBHPS[Strand],$B87,TBHPS[QET],O$11)&gt;0,$D87),TRUE,FALSE),FALSE))))</f>
        <v>0</v>
      </c>
      <c r="P87" s="710"/>
      <c r="Q87" s="662" t="str">
        <f>IFERROR(IF(E87,IF(C87="Plus Factor","Plus Factor",C87 &amp; ". " &amp; INDEX(Domains[Domain],MATCH(C87,Domains[Domain_code],0),1)),""),"")</f>
        <v/>
      </c>
      <c r="R87" s="663" t="str">
        <f>IFERROR(IF($F87,$I87 &amp; ". " &amp; IF(AND(career_stage="P",teacher_type="R"), INDEX(RPI[PPST Indicators],MATCH($B87,RPI[Strand],0),1), IF(AND(career_stage="HP",teacher_type="R"),INDEX(RHPI[PPST Indicators],MATCH($B87,RHPI[Strand],0),1), IF(AND(career_stage="P",teacher_type="TB"),INDEX(TBPI[PPST Indicators],MATCH($B87,TBPI[Strand],0),1), IF(AND(career_stage="HP",teacher_type="TB"),INDEX(TBHPI[PPST Indicators],MATCH($B87,TBHPI[Strand],0),1),"")))) &amp; IF(NOT(TRIM(LOWER($C87))="plus factor")," (PPST "&amp;B87&amp;")",""),""),"")</f>
        <v>10. Used strategies for providing timely, accurate and constructive feedback to improve learner performance (PPST 5.3.2)</v>
      </c>
      <c r="S87" s="664" t="str" cm="1">
        <f t="array" ref="S87">demographics[rating_period]</f>
        <v>SY 2023-2024</v>
      </c>
      <c r="T87" s="678">
        <f>IFERROR(IF(AND(career_stage="P",teacher_type="R"),VLOOKUP(B87,RPI[],COLUMNS(RPI[[Strand]:[Weight]]),FALSE), IF(AND(career_stage="HP",teacher_type="R"),VLOOKUP(B87,RHPI[],COLUMNS(RHPI[[Strand]:[Weight]]),FALSE), IF(AND(career_stage="P",teacher_type="TB"),VLOOKUP(B87,TBPI[],COLUMNS(TBPI[[Strand]:[Weight]]),FALSE), IF(AND(career_stage="HP",teacher_type="TB"),VLOOKUP(B87,TBHPI[],COLUMNS(TBHPI[[Strand]:[Weight]]),FALSE),0)))),0)</f>
        <v>7.0000000000000007E-2</v>
      </c>
      <c r="U87" s="94" t="s">
        <v>1185</v>
      </c>
      <c r="V87" s="391" t="str">
        <f ca="1">IFERROR(IF($M87,IF(AND(career_stage="P",teacher_type="R"),INDEX(INDIRECT("RPS["&amp;V$10&amp;"]"),MATCH($H87,RPS[helper],0),1), IF(AND(career_stage="HP",teacher_type="R"), INDEX(INDIRECT("RHPS["&amp;V$10&amp;"]"),MATCH($H87,RHPS[helper],0),1), IF(AND(career_stage="P",teacher_type="TB"),INDEX(INDIRECT("TBPS["&amp;V$10&amp;"]"),MATCH($H87,TBPS[helper],0),1), IF(AND(career_stage="HP",teacher_type="TB"),INDEX(INDIRECT("TBHPS["&amp;V$10&amp;"]"),MATCH($H87,TBHPS[helper],0),1),"")))),""),"")</f>
        <v>Demonstrated Level 7 in the objective as shown in COT rating sheets / inter-observer agreement forms</v>
      </c>
      <c r="W87" s="391" t="str">
        <f ca="1">IFERROR(IF($M87,IF(AND(career_stage="P",teacher_type="R"),INDEX(INDIRECT("RPS["&amp;W$10&amp;"]"),MATCH($H87,RPS[helper],0),1), IF(AND(career_stage="HP",teacher_type="R"), INDEX(INDIRECT("RHPS["&amp;W$10&amp;"]"),MATCH($H87,RHPS[helper],0),1), IF(AND(career_stage="P",teacher_type="TB"),INDEX(INDIRECT("TBPS["&amp;W$10&amp;"]"),MATCH($H87,TBPS[helper],0),1), IF(AND(career_stage="HP",teacher_type="TB"),INDEX(INDIRECT("TBHPS["&amp;W$10&amp;"]"),MATCH($H87,TBHPS[helper],0),1),"")))),""),"")</f>
        <v>Demonstrated Level 6 in the objective as shown in COT rating sheets / inter-observer agreement forms</v>
      </c>
      <c r="X87" s="391" t="str">
        <f ca="1">IFERROR(IF($M87,IF(AND(career_stage="P",teacher_type="R"),INDEX(INDIRECT("RPS["&amp;X$10&amp;"]"),MATCH($H87,RPS[helper],0),1), IF(AND(career_stage="HP",teacher_type="R"), INDEX(INDIRECT("RHPS["&amp;X$10&amp;"]"),MATCH($H87,RHPS[helper],0),1), IF(AND(career_stage="P",teacher_type="TB"),INDEX(INDIRECT("TBPS["&amp;X$10&amp;"]"),MATCH($H87,TBPS[helper],0),1), IF(AND(career_stage="HP",teacher_type="TB"),INDEX(INDIRECT("TBHPS["&amp;X$10&amp;"]"),MATCH($H87,TBHPS[helper],0),1),"")))),""),"")</f>
        <v>Demonstrated Level 5 in the objective as shown in COT rating sheets / inter-observer agreement forms</v>
      </c>
      <c r="Y87" s="391" t="str">
        <f ca="1">IFERROR(IF($M87,IF(AND(career_stage="P",teacher_type="R"),INDEX(INDIRECT("RPS["&amp;Y$10&amp;"]"),MATCH($H87,RPS[helper],0),1), IF(AND(career_stage="HP",teacher_type="R"), INDEX(INDIRECT("RHPS["&amp;Y$10&amp;"]"),MATCH($H87,RHPS[helper],0),1), IF(AND(career_stage="P",teacher_type="TB"),INDEX(INDIRECT("TBPS["&amp;Y$10&amp;"]"),MATCH($H87,TBPS[helper],0),1), IF(AND(career_stage="HP",teacher_type="TB"),INDEX(INDIRECT("TBHPS["&amp;Y$10&amp;"]"),MATCH($H87,TBHPS[helper],0),1),"")))),""),"")</f>
        <v>Demonstrated Level 4 in the objective as shown in COT rating sheets / inter-observer agreement forms</v>
      </c>
      <c r="Z87" s="391" t="str">
        <f ca="1">IFERROR(IF($M87,IF(AND(career_stage="P",teacher_type="R"),INDEX(INDIRECT("RPS["&amp;Z$10&amp;"]"),MATCH($H87,RPS[helper],0),1), IF(AND(career_stage="HP",teacher_type="R"), INDEX(INDIRECT("RHPS["&amp;Z$10&amp;"]"),MATCH($H87,RHPS[helper],0),1), IF(AND(career_stage="P",teacher_type="TB"),INDEX(INDIRECT("TBPS["&amp;Z$10&amp;"]"),MATCH($H87,TBPS[helper],0),1), IF(AND(career_stage="HP",teacher_type="TB"),INDEX(INDIRECT("TBHPS["&amp;Z$10&amp;"]"),MATCH($H87,TBHPS[helper],0),1),"")))),""),"")</f>
        <v>Demonstrated Level 3 in the objective as shown in COT rating sheets / inter-observer agreement forms
or
No acceptable evidence was shown</v>
      </c>
      <c r="AA87" s="392" t="str" cm="1">
        <f t="array" aca="1" ref="AA87" ca="1">IFERROR(INDEX(V87:Z87,6-AB87),"")</f>
        <v>Demonstrated Level 7 in the objective as shown in COT rating sheets / inter-observer agreement forms</v>
      </c>
      <c r="AB87" s="680">
        <f>IF('Encoding Part 1'!AB47="","",'Encoding Part 1'!AB47)</f>
        <v>5</v>
      </c>
      <c r="AC87" s="680">
        <f>IF('Encoding Part 1'!AC47="","",'Encoding Part 1'!AC47)</f>
        <v>5</v>
      </c>
      <c r="AD87" s="680" t="str">
        <f>IF('Encoding Part 1'!AD47="","",'Encoding Part 1'!AD47)</f>
        <v/>
      </c>
      <c r="AE87" s="682">
        <f t="shared" ref="AE87" si="50">IFERROR(ROUNDDOWN(AVERAGE($AB87:$AD87),3),0)</f>
        <v>5</v>
      </c>
      <c r="AF87" s="661">
        <f t="shared" ref="AF87" si="51">ROUNDDOWN($AE87*$T87,3)</f>
        <v>0.35</v>
      </c>
      <c r="AG87" s="5"/>
    </row>
    <row r="88" spans="1:33" ht="38.25" x14ac:dyDescent="0.25">
      <c r="A88" s="92">
        <v>26</v>
      </c>
      <c r="B88" s="99" t="str" cm="1">
        <f t="array" ref="B88">IFERROR(IF(AND(teacher_type="R",career_stage="P"),INDEX(RPI[Strand],$A88),IF(AND(teacher_type="R",career_stage="HP"),INDEX(RHPI[Strand],$A88), IF(AND(teacher_type="TB",career_stage="P"),INDEX(TBPI[Strand],$A88), IF(AND(teacher_type="TB",career_stage="HP"),INDEX(TBHPI[Strand],$A88),0)))),0)</f>
        <v>5.3.2</v>
      </c>
      <c r="C88" s="99">
        <f>IFERROR(IF(AND(teacher_type="R",career_stage="P"),VLOOKUP($B88,RPI[[Strand]:[Domain]],COLUMNS(RPI[[Strand]:[Domain]]),FALSE), IF(AND(teacher_type="R",career_stage="HP"),VLOOKUP($B88,RHPI[[Strand]:[Domain]],COLUMNS(RHPI[[Strand]:[Domain]]),FALSE), IF(AND(teacher_type="TB",career_stage="P"),VLOOKUP($B88,TBPI[[Strand]:[Domain]],COLUMNS(TBPI[[Strand]:[Domain]]),FALSE), IF(AND(teacher_type="TB",career_stage="HP"),VLOOKUP($B88,TBHPI[[Strand]:[Domain]],COLUMNS(TBHPI[[Strand]:[Domain]]),FALSE),"")))),"")</f>
        <v>3</v>
      </c>
      <c r="D88" s="99" t="b">
        <f>IFERROR(IF(AND(career_stage="P",teacher_type="R"),VLOOKUP(B88,RPI[],COLUMNS(RPI[[Strand]:[Selected]]),FALSE), IF(AND(career_stage="HP",teacher_type="R"),VLOOKUP(B88,RHPI[],COLUMNS(RHPI[[Strand]:[Selected]]),FALSE), IF(AND(career_stage="P",teacher_type="TB"),VLOOKUP(B88,TBPI[],COLUMNS(TBPI[[Strand]:[Selected]]),FALSE), IF(AND(career_stage="HP",teacher_type="TB"),VLOOKUP(B88,TBHPI[],COLUMNS(TBHPI[[Strand]:[Selected]]),FALSE),FALSE)))),FALSE)</f>
        <v>1</v>
      </c>
      <c r="E88" s="92" t="b">
        <f>COUNTIFS($C$12:$C88,C88,$D$12:$D88,TRUE)=1</f>
        <v>0</v>
      </c>
      <c r="F88" s="92" t="b">
        <f>COUNTIFS($C$12:$C88,$C88,$B$12:$B88,$B88,$D$12:$D88,TRUE)=1</f>
        <v>0</v>
      </c>
      <c r="G88" s="99">
        <f>IF($F88,COUNTIFS($C$12:$C88,C88,$F$12:$F88,TRUE),0)</f>
        <v>0</v>
      </c>
      <c r="H88" s="99" t="str">
        <f t="shared" si="43"/>
        <v>5.3.2-E-COI</v>
      </c>
      <c r="I88" s="99">
        <f>IF(AND(D88,NOT($A88=$A87)),(COUNTIF($D$11:$D87,TRUE)/3)+1,0)</f>
        <v>0</v>
      </c>
      <c r="J88" s="99" t="s">
        <v>1073</v>
      </c>
      <c r="K88" s="99" t="b">
        <f>IF(AND(teacher_type="R",career_stage="P"),IF(AND(COUNTIFS(RPS[Strand],$B88,RPS[QET],$J88)&gt;0,$D88),TRUE,FALSE), IF(AND(teacher_type="R",career_stage="HP"),IF(AND(COUNTIFS(RHPS[Strand],$B88,RHPS[QET],$J88)&gt;0,$D88),TRUE,FALSE), IF(AND(teacher_type="TB",career_stage="P"),IF(AND(COUNTIFS(TBPS[Strand],$B88,TBPS[QET],$J88)&gt;0,$D88),TRUE,FALSE), IF(AND(teacher_type="TB",career_stage="HP"),IF(AND(COUNTIFS(TBHPS[Strand],$B88,TBHPS[QET],$J88)&gt;0,$D88),TRUE,FALSE),FALSE))))</f>
        <v>1</v>
      </c>
      <c r="L88" s="99" t="str">
        <f>IF($K88,IF(AND(teacher_type="R",career_stage="P"),VLOOKUP($B88,RPI[],COLUMNS(RPI[[Strand]:[user_selected_coi_ncoi]]),FALSE), IF(AND(teacher_type="R",career_stage="HP"),VLOOKUP($B88,RHPI[],COLUMNS(RHPI[[Strand]:[user_selected_coi_ncoi]]),FALSE), IF(AND(teacher_type="TB",career_stage="P"),VLOOKUP($B88,TBPI[],COLUMNS(TBPI[[Strand]:[user_selected_coi_ncoi]]),FALSE), IF(AND(teacher_type="TB",career_stage="HP"),VLOOKUP($B88,TBHPI[],COLUMNS(TBHPI[[Strand]:[user_selected_coi_ncoi]]),FALSE),"")))),"")</f>
        <v>COI</v>
      </c>
      <c r="M88" s="99" t="b">
        <f>IF(AND(teacher_type="R",career_stage="P"),IF(AND(COUNTIFS(RPS[Strand],$B88,RPS[QET],M$11)&gt;0,$D88),TRUE,FALSE),IF(AND(teacher_type="R",career_stage="HP"),IF(AND(COUNTIFS(RHPS[Strand],$B88,RHPS[QET],M$11)&gt;0,$D88),TRUE,FALSE), IF(AND(teacher_type="TB",career_stage="P"),IF(AND(COUNTIFS(TBPS[Strand],$B88,TBPS[QET],M$11)&gt;0,$D88),TRUE,FALSE), IF(AND(teacher_type="TB",career_stage="HP"),IF(AND(COUNTIFS(TBHPS[Strand],$B88,TBHPS[QET],M$11)&gt;0,$D88),TRUE,FALSE),FALSE))))</f>
        <v>1</v>
      </c>
      <c r="N88" s="99" t="b">
        <f>IF(AND(teacher_type="R",career_stage="P"),IF(AND(COUNTIFS(RPS[Strand],$B88,RPS[QET],N$11)&gt;0,$D88),TRUE,FALSE),IF(AND(teacher_type="R",career_stage="HP"),IF(AND(COUNTIFS(RHPS[Strand],$B88,RHPS[QET],N$11)&gt;0,$D88),TRUE,FALSE), IF(AND(teacher_type="TB",career_stage="P"),IF(AND(COUNTIFS(TBPS[Strand],$B88,TBPS[QET],N$11)&gt;0,$D88),TRUE,FALSE), IF(AND(teacher_type="TB",career_stage="HP"),IF(AND(COUNTIFS(TBHPS[Strand],$B88,TBHPS[QET],N$11)&gt;0,$D88),TRUE,FALSE),FALSE))))</f>
        <v>1</v>
      </c>
      <c r="O88" s="99" t="b">
        <f>IF(AND(teacher_type="R",career_stage="P"),IF(AND(COUNTIFS(RPS[Strand],$B88,RPS[QET],O$11)&gt;0,$D88),TRUE,FALSE),IF(AND(teacher_type="R",career_stage="HP"),IF(AND(COUNTIFS(RHPS[Strand],$B88,RHPS[QET],O$11)&gt;0,$D88),TRUE,FALSE), IF(AND(teacher_type="TB",career_stage="P"),IF(AND(COUNTIFS(TBPS[Strand],$B88,TBPS[QET],O$11)&gt;0,$D88),TRUE,FALSE), IF(AND(teacher_type="TB",career_stage="HP"),IF(AND(COUNTIFS(TBHPS[Strand],$B88,TBHPS[QET],O$11)&gt;0,$D88),TRUE,FALSE),FALSE))))</f>
        <v>0</v>
      </c>
      <c r="P88" s="710"/>
      <c r="Q88" s="662"/>
      <c r="R88" s="663"/>
      <c r="S88" s="664"/>
      <c r="T88" s="678"/>
      <c r="U88" s="94" t="s">
        <v>1186</v>
      </c>
      <c r="V88" s="391" t="str">
        <f ca="1">IFERROR(IF($N88,IF(AND(career_stage="P",teacher_type="R"),INDEX(INDIRECT("RPS["&amp;V$10&amp;"]"),MATCH($H88,RPS[helper],0),1), IF(AND(career_stage="HP",teacher_type="R"), INDEX(INDIRECT("RHPS["&amp;V$10&amp;"]"),MATCH($H88,RHPS[helper],0),1), IF(AND(career_stage="P",teacher_type="TB"),INDEX(INDIRECT("TBPS["&amp;V$10&amp;"]"),MATCH($H88,TBPS[helper],0),1), IF(AND(career_stage="HP",teacher_type="TB"),INDEX(INDIRECT("TBHPS["&amp;V$10&amp;"]"),MATCH($H88,TBHPS[helper],0),1),"")))),""),"")</f>
        <v>Objective was met within the allotted time</v>
      </c>
      <c r="W88" s="391">
        <f ca="1">IFERROR(IF($N88,IF(AND(career_stage="P",teacher_type="R"),INDEX(INDIRECT("RPS["&amp;W$10&amp;"]"),MATCH($H88,RPS[helper],0),1), IF(AND(career_stage="HP",teacher_type="R"), INDEX(INDIRECT("RHPS["&amp;W$10&amp;"]"),MATCH($H88,RHPS[helper],0),1), IF(AND(career_stage="P",teacher_type="TB"),INDEX(INDIRECT("TBPS["&amp;W$10&amp;"]"),MATCH($H88,TBPS[helper],0),1), IF(AND(career_stage="HP",teacher_type="TB"),INDEX(INDIRECT("TBHPS["&amp;W$10&amp;"]"),MATCH($H88,TBHPS[helper],0),1),"")))),""),"")</f>
        <v>0</v>
      </c>
      <c r="X88" s="391" t="str">
        <f ca="1">IFERROR(IF($N88,IF(AND(career_stage="P",teacher_type="R"),INDEX(INDIRECT("RPS["&amp;X$10&amp;"]"),MATCH($H88,RPS[helper],0),1), IF(AND(career_stage="HP",teacher_type="R"), INDEX(INDIRECT("RHPS["&amp;X$10&amp;"]"),MATCH($H88,RHPS[helper],0),1), IF(AND(career_stage="P",teacher_type="TB"),INDEX(INDIRECT("TBPS["&amp;X$10&amp;"]"),MATCH($H88,TBPS[helper],0),1), IF(AND(career_stage="HP",teacher_type="TB"),INDEX(INDIRECT("TBHPS["&amp;X$10&amp;"]"),MATCH($H88,TBHPS[helper],0),1),"")))),""),"")</f>
        <v>Objective was met but instruction exceeded the allotted time</v>
      </c>
      <c r="Y88" s="391">
        <f ca="1">IFERROR(IF($N88,IF(AND(career_stage="P",teacher_type="R"),INDEX(INDIRECT("RPS["&amp;Y$10&amp;"]"),MATCH($H88,RPS[helper],0),1), IF(AND(career_stage="HP",teacher_type="R"), INDEX(INDIRECT("RHPS["&amp;Y$10&amp;"]"),MATCH($H88,RHPS[helper],0),1), IF(AND(career_stage="P",teacher_type="TB"),INDEX(INDIRECT("TBPS["&amp;Y$10&amp;"]"),MATCH($H88,TBPS[helper],0),1), IF(AND(career_stage="HP",teacher_type="TB"),INDEX(INDIRECT("TBHPS["&amp;Y$10&amp;"]"),MATCH($H88,TBHPS[helper],0),1),"")))),""),"")</f>
        <v>0</v>
      </c>
      <c r="Z88" s="391" t="str">
        <f ca="1">IFERROR(IF($N88,IF(AND(career_stage="P",teacher_type="R"),INDEX(INDIRECT("RPS["&amp;Z$10&amp;"]"),MATCH($H88,RPS[helper],0),1), IF(AND(career_stage="HP",teacher_type="R"), INDEX(INDIRECT("RHPS["&amp;Z$10&amp;"]"),MATCH($H88,RHPS[helper],0),1), IF(AND(career_stage="P",teacher_type="TB"),INDEX(INDIRECT("TBPS["&amp;Z$10&amp;"]"),MATCH($H88,TBPS[helper],0),1), IF(AND(career_stage="HP",teacher_type="TB"),INDEX(INDIRECT("TBHPS["&amp;Z$10&amp;"]"),MATCH($H88,TBHPS[helper],0),1),"")))),""),"")</f>
        <v>No acceptable evidence was shown</v>
      </c>
      <c r="AA88" s="392" t="str" cm="1">
        <f t="array" aca="1" ref="AA88" ca="1">IFERROR(INDEX(V88:Z88,6-AC87),"")</f>
        <v>Objective was met within the allotted time</v>
      </c>
      <c r="AB88" s="680"/>
      <c r="AC88" s="680"/>
      <c r="AD88" s="680"/>
      <c r="AE88" s="682"/>
      <c r="AF88" s="661"/>
      <c r="AG88" s="5"/>
    </row>
    <row r="89" spans="1:33" hidden="1" x14ac:dyDescent="0.25">
      <c r="A89" s="92">
        <v>26</v>
      </c>
      <c r="B89" s="99" t="str" cm="1">
        <f t="array" ref="B89">IFERROR(IF(AND(teacher_type="R",career_stage="P"),INDEX(RPI[Strand],$A89),IF(AND(teacher_type="R",career_stage="HP"),INDEX(RHPI[Strand],$A89), IF(AND(teacher_type="TB",career_stage="P"),INDEX(TBPI[Strand],$A89), IF(AND(teacher_type="TB",career_stage="HP"),INDEX(TBHPI[Strand],$A89),0)))),0)</f>
        <v>5.3.2</v>
      </c>
      <c r="C89" s="99">
        <f>IFERROR(IF(AND(teacher_type="R",career_stage="P"),VLOOKUP($B89,RPI[[Strand]:[Domain]],COLUMNS(RPI[[Strand]:[Domain]]),FALSE), IF(AND(teacher_type="R",career_stage="HP"),VLOOKUP($B89,RHPI[[Strand]:[Domain]],COLUMNS(RHPI[[Strand]:[Domain]]),FALSE), IF(AND(teacher_type="TB",career_stage="P"),VLOOKUP($B89,TBPI[[Strand]:[Domain]],COLUMNS(TBPI[[Strand]:[Domain]]),FALSE), IF(AND(teacher_type="TB",career_stage="HP"),VLOOKUP($B89,TBHPI[[Strand]:[Domain]],COLUMNS(TBHPI[[Strand]:[Domain]]),FALSE),"")))),"")</f>
        <v>3</v>
      </c>
      <c r="D89" s="99" t="b">
        <f>IFERROR(IF(AND(career_stage="P",teacher_type="R"),VLOOKUP(B89,RPI[],COLUMNS(RPI[[Strand]:[Selected]]),FALSE), IF(AND(career_stage="HP",teacher_type="R"),VLOOKUP(B89,RHPI[],COLUMNS(RHPI[[Strand]:[Selected]]),FALSE), IF(AND(career_stage="P",teacher_type="TB"),VLOOKUP(B89,TBPI[],COLUMNS(TBPI[[Strand]:[Selected]]),FALSE), IF(AND(career_stage="HP",teacher_type="TB"),VLOOKUP(B89,TBHPI[],COLUMNS(TBHPI[[Strand]:[Selected]]),FALSE),FALSE)))),FALSE)</f>
        <v>1</v>
      </c>
      <c r="E89" s="92" t="b">
        <f>COUNTIFS($C$12:$C89,C89,$D$12:$D89,TRUE)=1</f>
        <v>0</v>
      </c>
      <c r="F89" s="92" t="b">
        <f>COUNTIFS($C$12:$C89,$C89,$B$12:$B89,$B89,$D$12:$D89,TRUE)=1</f>
        <v>0</v>
      </c>
      <c r="G89" s="99">
        <f>IF($F89,COUNTIFS($C$12:$C89,C89,$F$12:$F89,TRUE),0)</f>
        <v>0</v>
      </c>
      <c r="H89" s="99" t="str">
        <f t="shared" si="43"/>
        <v>5.3.2-T</v>
      </c>
      <c r="I89" s="99">
        <f>IF(AND(D89,NOT($A89=$A88)),(COUNTIF($D$11:$D88,TRUE)/3)+1,0)</f>
        <v>0</v>
      </c>
      <c r="J89" s="99" t="s">
        <v>1014</v>
      </c>
      <c r="K89" s="99" t="b">
        <f>IF(AND(teacher_type="R",career_stage="P"),IF(AND(COUNTIFS(RPS[Strand],$B89,RPS[QET],$J89)&gt;0,$D89),TRUE,FALSE), IF(AND(teacher_type="R",career_stage="HP"),IF(AND(COUNTIFS(RHPS[Strand],$B89,RHPS[QET],$J89)&gt;0,$D89),TRUE,FALSE), IF(AND(teacher_type="TB",career_stage="P"),IF(AND(COUNTIFS(TBPS[Strand],$B89,TBPS[QET],$J89)&gt;0,$D89),TRUE,FALSE), IF(AND(teacher_type="TB",career_stage="HP"),IF(AND(COUNTIFS(TBHPS[Strand],$B89,TBHPS[QET],$J89)&gt;0,$D89),TRUE,FALSE),FALSE))))</f>
        <v>0</v>
      </c>
      <c r="L89" s="99" t="str">
        <f>IF($K89,IF(AND(teacher_type="R",career_stage="P"),VLOOKUP($B89,RPI[],COLUMNS(RPI[[Strand]:[user_selected_coi_ncoi]]),FALSE), IF(AND(teacher_type="R",career_stage="HP"),VLOOKUP($B89,RHPI[],COLUMNS(RHPI[[Strand]:[user_selected_coi_ncoi]]),FALSE), IF(AND(teacher_type="TB",career_stage="P"),VLOOKUP($B89,TBPI[],COLUMNS(TBPI[[Strand]:[user_selected_coi_ncoi]]),FALSE), IF(AND(teacher_type="TB",career_stage="HP"),VLOOKUP($B89,TBHPI[],COLUMNS(TBHPI[[Strand]:[user_selected_coi_ncoi]]),FALSE),"")))),"")</f>
        <v/>
      </c>
      <c r="M89" s="99" t="b">
        <f>IF(AND(teacher_type="R",career_stage="P"),IF(AND(COUNTIFS(RPS[Strand],$B89,RPS[QET],M$11)&gt;0,$D89),TRUE,FALSE),IF(AND(teacher_type="R",career_stage="HP"),IF(AND(COUNTIFS(RHPS[Strand],$B89,RHPS[QET],M$11)&gt;0,$D89),TRUE,FALSE), IF(AND(teacher_type="TB",career_stage="P"),IF(AND(COUNTIFS(TBPS[Strand],$B89,TBPS[QET],M$11)&gt;0,$D89),TRUE,FALSE), IF(AND(teacher_type="TB",career_stage="HP"),IF(AND(COUNTIFS(TBHPS[Strand],$B89,TBHPS[QET],M$11)&gt;0,$D89),TRUE,FALSE),FALSE))))</f>
        <v>1</v>
      </c>
      <c r="N89" s="99" t="b">
        <f>IF(AND(teacher_type="R",career_stage="P"),IF(AND(COUNTIFS(RPS[Strand],$B89,RPS[QET],N$11)&gt;0,$D89),TRUE,FALSE),IF(AND(teacher_type="R",career_stage="HP"),IF(AND(COUNTIFS(RHPS[Strand],$B89,RHPS[QET],N$11)&gt;0,$D89),TRUE,FALSE), IF(AND(teacher_type="TB",career_stage="P"),IF(AND(COUNTIFS(TBPS[Strand],$B89,TBPS[QET],N$11)&gt;0,$D89),TRUE,FALSE), IF(AND(teacher_type="TB",career_stage="HP"),IF(AND(COUNTIFS(TBHPS[Strand],$B89,TBHPS[QET],N$11)&gt;0,$D89),TRUE,FALSE),FALSE))))</f>
        <v>1</v>
      </c>
      <c r="O89" s="99" t="b">
        <f>IF(AND(teacher_type="R",career_stage="P"),IF(AND(COUNTIFS(RPS[Strand],$B89,RPS[QET],O$11)&gt;0,$D89),TRUE,FALSE),IF(AND(teacher_type="R",career_stage="HP"),IF(AND(COUNTIFS(RHPS[Strand],$B89,RHPS[QET],O$11)&gt;0,$D89),TRUE,FALSE), IF(AND(teacher_type="TB",career_stage="P"),IF(AND(COUNTIFS(TBPS[Strand],$B89,TBPS[QET],O$11)&gt;0,$D89),TRUE,FALSE), IF(AND(teacher_type="TB",career_stage="HP"),IF(AND(COUNTIFS(TBHPS[Strand],$B89,TBHPS[QET],O$11)&gt;0,$D89),TRUE,FALSE),FALSE))))</f>
        <v>0</v>
      </c>
      <c r="P89" s="710"/>
      <c r="Q89" s="662"/>
      <c r="R89" s="663"/>
      <c r="S89" s="664"/>
      <c r="T89" s="678"/>
      <c r="U89" s="94" t="s">
        <v>1187</v>
      </c>
      <c r="V89" s="391" t="str">
        <f ca="1">IFERROR(IF($O89,IF(AND(career_stage="P",teacher_type="R"),INDEX(INDIRECT("RPS["&amp;V$10&amp;"]"),MATCH($H89,RPS[helper],0),1), IF(AND(career_stage="HP",teacher_type="R"), INDEX(INDIRECT("RHPS["&amp;V$10&amp;"]"),MATCH($H89,RHPS[helper],0),1), IF(AND(career_stage="P",teacher_type="TB"),INDEX(INDIRECT("TBPS["&amp;V$10&amp;"]"),MATCH($H89,TBPS[helper],0),1), IF(AND(career_stage="HP",teacher_type="TB"),INDEX(INDIRECT("TBHPS["&amp;V$10&amp;"]"),MATCH($H89,TBHPS[helper],0),1),"")))),""),"")</f>
        <v/>
      </c>
      <c r="W89" s="391" t="str">
        <f ca="1">IFERROR(IF($O89,IF(AND(career_stage="P",teacher_type="R"),INDEX(INDIRECT("RPS["&amp;W$10&amp;"]"),MATCH($H89,RPS[helper],0),1), IF(AND(career_stage="HP",teacher_type="R"), INDEX(INDIRECT("RHPS["&amp;W$10&amp;"]"),MATCH($H89,RHPS[helper],0),1), IF(AND(career_stage="P",teacher_type="TB"),INDEX(INDIRECT("TBPS["&amp;W$10&amp;"]"),MATCH($H89,TBPS[helper],0),1), IF(AND(career_stage="HP",teacher_type="TB"),INDEX(INDIRECT("TBHPS["&amp;W$10&amp;"]"),MATCH($H89,TBHPS[helper],0),1),"")))),""),"")</f>
        <v/>
      </c>
      <c r="X89" s="391" t="str">
        <f ca="1">IFERROR(IF($O89,IF(AND(career_stage="P",teacher_type="R"),INDEX(INDIRECT("RPS["&amp;X$10&amp;"]"),MATCH($H89,RPS[helper],0),1), IF(AND(career_stage="HP",teacher_type="R"), INDEX(INDIRECT("RHPS["&amp;X$10&amp;"]"),MATCH($H89,RHPS[helper],0),1), IF(AND(career_stage="P",teacher_type="TB"),INDEX(INDIRECT("TBPS["&amp;X$10&amp;"]"),MATCH($H89,TBPS[helper],0),1), IF(AND(career_stage="HP",teacher_type="TB"),INDEX(INDIRECT("TBHPS["&amp;X$10&amp;"]"),MATCH($H89,TBHPS[helper],0),1),"")))),""),"")</f>
        <v/>
      </c>
      <c r="Y89" s="391" t="str">
        <f ca="1">IFERROR(IF($O89,IF(AND(career_stage="P",teacher_type="R"),INDEX(INDIRECT("RPS["&amp;Y$10&amp;"]"),MATCH($H89,RPS[helper],0),1), IF(AND(career_stage="HP",teacher_type="R"), INDEX(INDIRECT("RHPS["&amp;Y$10&amp;"]"),MATCH($H89,RHPS[helper],0),1), IF(AND(career_stage="P",teacher_type="TB"),INDEX(INDIRECT("TBPS["&amp;Y$10&amp;"]"),MATCH($H89,TBPS[helper],0),1), IF(AND(career_stage="HP",teacher_type="TB"),INDEX(INDIRECT("TBHPS["&amp;Y$10&amp;"]"),MATCH($H89,TBHPS[helper],0),1),"")))),""),"")</f>
        <v/>
      </c>
      <c r="Z89" s="391" t="str">
        <f ca="1">IFERROR(IF($O89,IF(AND(career_stage="P",teacher_type="R"),INDEX(INDIRECT("RPS["&amp;Z$10&amp;"]"),MATCH($H89,RPS[helper],0),1), IF(AND(career_stage="HP",teacher_type="R"), INDEX(INDIRECT("RHPS["&amp;Z$10&amp;"]"),MATCH($H89,RHPS[helper],0),1), IF(AND(career_stage="P",teacher_type="TB"),INDEX(INDIRECT("TBPS["&amp;Z$10&amp;"]"),MATCH($H89,TBPS[helper],0),1), IF(AND(career_stage="HP",teacher_type="TB"),INDEX(INDIRECT("TBHPS["&amp;Z$10&amp;"]"),MATCH($H89,TBHPS[helper],0),1),"")))),""),"")</f>
        <v/>
      </c>
      <c r="AA89" s="391" t="str" cm="1">
        <f t="array" ref="AA89">IFERROR(INDEX(V89:Z89,6-AD87),"")</f>
        <v/>
      </c>
      <c r="AB89" s="680"/>
      <c r="AC89" s="680"/>
      <c r="AD89" s="680"/>
      <c r="AE89" s="682"/>
      <c r="AF89" s="661"/>
      <c r="AG89" s="5"/>
    </row>
    <row r="90" spans="1:33" hidden="1" x14ac:dyDescent="0.25">
      <c r="A90" s="92">
        <v>27</v>
      </c>
      <c r="B90" s="99" t="str" cm="1">
        <f t="array" ref="B90">IFERROR(IF(AND(teacher_type="R",career_stage="P"),INDEX(RPI[Strand],$A90),IF(AND(teacher_type="R",career_stage="HP"),INDEX(RHPI[Strand],$A90), IF(AND(teacher_type="TB",career_stage="P"),INDEX(TBPI[Strand],$A90), IF(AND(teacher_type="TB",career_stage="HP"),INDEX(TBHPI[Strand],$A90),0)))),0)</f>
        <v>5.4.2</v>
      </c>
      <c r="C90" s="99">
        <f>IFERROR(IF(AND(teacher_type="R",career_stage="P"),VLOOKUP($B90,RPI[[Strand]:[Domain]],COLUMNS(RPI[[Strand]:[Domain]]),FALSE), IF(AND(teacher_type="R",career_stage="HP"),VLOOKUP($B90,RHPI[[Strand]:[Domain]],COLUMNS(RHPI[[Strand]:[Domain]]),FALSE), IF(AND(teacher_type="TB",career_stage="P"),VLOOKUP($B90,TBPI[[Strand]:[Domain]],COLUMNS(TBPI[[Strand]:[Domain]]),FALSE), IF(AND(teacher_type="TB",career_stage="HP"),VLOOKUP($B90,TBHPI[[Strand]:[Domain]],COLUMNS(TBHPI[[Strand]:[Domain]]),FALSE),"")))),"")</f>
        <v>4</v>
      </c>
      <c r="D90" s="99" t="b">
        <f>IFERROR(IF(AND(career_stage="P",teacher_type="R"),VLOOKUP(B90,RPI[],COLUMNS(RPI[[Strand]:[Selected]]),FALSE), IF(AND(career_stage="HP",teacher_type="R"),VLOOKUP(B90,RHPI[],COLUMNS(RHPI[[Strand]:[Selected]]),FALSE), IF(AND(career_stage="P",teacher_type="TB"),VLOOKUP(B90,TBPI[],COLUMNS(TBPI[[Strand]:[Selected]]),FALSE), IF(AND(career_stage="HP",teacher_type="TB"),VLOOKUP(B90,TBHPI[],COLUMNS(TBHPI[[Strand]:[Selected]]),FALSE),FALSE)))),FALSE)</f>
        <v>0</v>
      </c>
      <c r="E90" s="92" t="b">
        <f>COUNTIFS($C$12:$C90,C90,$D$12:$D90,TRUE)=1</f>
        <v>0</v>
      </c>
      <c r="F90" s="92" t="b">
        <f>COUNTIFS($C$12:$C90,$C90,$B$12:$B90,$B90,$D$12:$D90,TRUE)=1</f>
        <v>0</v>
      </c>
      <c r="G90" s="99">
        <f>IF($F90,COUNTIFS($C$12:$C90,C90,$F$12:$F90,TRUE),0)</f>
        <v>0</v>
      </c>
      <c r="H90" s="99" t="str">
        <f t="shared" si="43"/>
        <v>5.4.2-Q</v>
      </c>
      <c r="I90" s="99">
        <f>IF(AND(D90,NOT($A90=$A89)),(COUNTIF($D$11:$D89,TRUE)/3)+1,0)</f>
        <v>0</v>
      </c>
      <c r="J90" s="99" t="s">
        <v>1012</v>
      </c>
      <c r="K90" s="99" t="b">
        <f>IF(AND(teacher_type="R",career_stage="P"),IF(AND(COUNTIFS(RPS[Strand],$B90,RPS[QET],$J90)&gt;0,$D90),TRUE,FALSE), IF(AND(teacher_type="R",career_stage="HP"),IF(AND(COUNTIFS(RHPS[Strand],$B90,RHPS[QET],$J90)&gt;0,$D90),TRUE,FALSE), IF(AND(teacher_type="TB",career_stage="P"),IF(AND(COUNTIFS(TBPS[Strand],$B90,TBPS[QET],$J90)&gt;0,$D90),TRUE,FALSE), IF(AND(teacher_type="TB",career_stage="HP"),IF(AND(COUNTIFS(TBHPS[Strand],$B90,TBHPS[QET],$J90)&gt;0,$D90),TRUE,FALSE),FALSE))))</f>
        <v>0</v>
      </c>
      <c r="L90" s="99" t="str">
        <f>IF($K90,IF(AND(teacher_type="R",career_stage="P"),VLOOKUP($B90,RPI[],COLUMNS(RPI[[Strand]:[user_selected_coi_ncoi]]),FALSE), IF(AND(teacher_type="R",career_stage="HP"),VLOOKUP($B90,RHPI[],COLUMNS(RHPI[[Strand]:[user_selected_coi_ncoi]]),FALSE), IF(AND(teacher_type="TB",career_stage="P"),VLOOKUP($B90,TBPI[],COLUMNS(TBPI[[Strand]:[user_selected_coi_ncoi]]),FALSE), IF(AND(teacher_type="TB",career_stage="HP"),VLOOKUP($B90,TBHPI[],COLUMNS(TBHPI[[Strand]:[user_selected_coi_ncoi]]),FALSE),"")))),"")</f>
        <v/>
      </c>
      <c r="M90" s="99" t="b">
        <f>IF(AND(teacher_type="R",career_stage="P"),IF(AND(COUNTIFS(RPS[Strand],$B90,RPS[QET],M$11)&gt;0,$D90),TRUE,FALSE),IF(AND(teacher_type="R",career_stage="HP"),IF(AND(COUNTIFS(RHPS[Strand],$B90,RHPS[QET],M$11)&gt;0,$D90),TRUE,FALSE), IF(AND(teacher_type="TB",career_stage="P"),IF(AND(COUNTIFS(TBPS[Strand],$B90,TBPS[QET],M$11)&gt;0,$D90),TRUE,FALSE), IF(AND(teacher_type="TB",career_stage="HP"),IF(AND(COUNTIFS(TBHPS[Strand],$B90,TBHPS[QET],M$11)&gt;0,$D90),TRUE,FALSE),FALSE))))</f>
        <v>0</v>
      </c>
      <c r="N90" s="99" t="b">
        <f>IF(AND(teacher_type="R",career_stage="P"),IF(AND(COUNTIFS(RPS[Strand],$B90,RPS[QET],N$11)&gt;0,$D90),TRUE,FALSE),IF(AND(teacher_type="R",career_stage="HP"),IF(AND(COUNTIFS(RHPS[Strand],$B90,RHPS[QET],N$11)&gt;0,$D90),TRUE,FALSE), IF(AND(teacher_type="TB",career_stage="P"),IF(AND(COUNTIFS(TBPS[Strand],$B90,TBPS[QET],N$11)&gt;0,$D90),TRUE,FALSE), IF(AND(teacher_type="TB",career_stage="HP"),IF(AND(COUNTIFS(TBHPS[Strand],$B90,TBHPS[QET],N$11)&gt;0,$D90),TRUE,FALSE),FALSE))))</f>
        <v>0</v>
      </c>
      <c r="O90" s="99" t="b">
        <f>IF(AND(teacher_type="R",career_stage="P"),IF(AND(COUNTIFS(RPS[Strand],$B90,RPS[QET],O$11)&gt;0,$D90),TRUE,FALSE),IF(AND(teacher_type="R",career_stage="HP"),IF(AND(COUNTIFS(RHPS[Strand],$B90,RHPS[QET],O$11)&gt;0,$D90),TRUE,FALSE), IF(AND(teacher_type="TB",career_stage="P"),IF(AND(COUNTIFS(TBPS[Strand],$B90,TBPS[QET],O$11)&gt;0,$D90),TRUE,FALSE), IF(AND(teacher_type="TB",career_stage="HP"),IF(AND(COUNTIFS(TBHPS[Strand],$B90,TBHPS[QET],O$11)&gt;0,$D90),TRUE,FALSE),FALSE))))</f>
        <v>0</v>
      </c>
      <c r="P90" s="710"/>
      <c r="Q90" s="662" t="str">
        <f>IFERROR(IF(E90,IF(C90="Plus Factor","Plus Factor",C90 &amp; ". " &amp; INDEX(Domains[Domain],MATCH(C90,Domains[Domain_code],0),1)),""),"")</f>
        <v/>
      </c>
      <c r="R90" s="663" t="str">
        <f>IFERROR(IF($F90,$I90 &amp; ". " &amp; IF(AND(career_stage="P",teacher_type="R"), INDEX(RPI[PPST Indicators],MATCH($B90,RPI[Strand],0),1), IF(AND(career_stage="HP",teacher_type="R"),INDEX(RHPI[PPST Indicators],MATCH($B90,RHPI[Strand],0),1), IF(AND(career_stage="P",teacher_type="TB"),INDEX(TBPI[PPST Indicators],MATCH($B90,TBPI[Strand],0),1), IF(AND(career_stage="HP",teacher_type="TB"),INDEX(TBHPI[PPST Indicators],MATCH($B90,TBHPI[Strand],0),1),"")))) &amp; IF(NOT(TRIM(LOWER($C90))="plus factor")," (PPST "&amp;B90&amp;")",""),""),"")</f>
        <v/>
      </c>
      <c r="S90" s="664" t="str" cm="1">
        <f t="array" ref="S90">demographics[rating_period]</f>
        <v>SY 2023-2024</v>
      </c>
      <c r="T90" s="678">
        <f>IFERROR(IF(AND(career_stage="P",teacher_type="R"),VLOOKUP(B90,RPI[],COLUMNS(RPI[[Strand]:[Weight]]),FALSE), IF(AND(career_stage="HP",teacher_type="R"),VLOOKUP(B90,RHPI[],COLUMNS(RHPI[[Strand]:[Weight]]),FALSE), IF(AND(career_stage="P",teacher_type="TB"),VLOOKUP(B90,TBPI[],COLUMNS(TBPI[[Strand]:[Weight]]),FALSE), IF(AND(career_stage="HP",teacher_type="TB"),VLOOKUP(B90,TBHPI[],COLUMNS(TBHPI[[Strand]:[Weight]]),FALSE),0)))),0)</f>
        <v>0</v>
      </c>
      <c r="U90" s="94" t="s">
        <v>1185</v>
      </c>
      <c r="V90" s="391" t="str">
        <f ca="1">IFERROR(IF($M90,IF(AND(career_stage="P",teacher_type="R"),INDEX(INDIRECT("RPS["&amp;V$10&amp;"]"),MATCH($H90,RPS[helper],0),1), IF(AND(career_stage="HP",teacher_type="R"), INDEX(INDIRECT("RHPS["&amp;V$10&amp;"]"),MATCH($H90,RHPS[helper],0),1), IF(AND(career_stage="P",teacher_type="TB"),INDEX(INDIRECT("TBPS["&amp;V$10&amp;"]"),MATCH($H90,TBPS[helper],0),1), IF(AND(career_stage="HP",teacher_type="TB"),INDEX(INDIRECT("TBHPS["&amp;V$10&amp;"]"),MATCH($H90,TBHPS[helper],0),1),"")))),""),"")</f>
        <v/>
      </c>
      <c r="W90" s="391" t="str">
        <f ca="1">IFERROR(IF($M90,IF(AND(career_stage="P",teacher_type="R"),INDEX(INDIRECT("RPS["&amp;W$10&amp;"]"),MATCH($H90,RPS[helper],0),1), IF(AND(career_stage="HP",teacher_type="R"), INDEX(INDIRECT("RHPS["&amp;W$10&amp;"]"),MATCH($H90,RHPS[helper],0),1), IF(AND(career_stage="P",teacher_type="TB"),INDEX(INDIRECT("TBPS["&amp;W$10&amp;"]"),MATCH($H90,TBPS[helper],0),1), IF(AND(career_stage="HP",teacher_type="TB"),INDEX(INDIRECT("TBHPS["&amp;W$10&amp;"]"),MATCH($H90,TBHPS[helper],0),1),"")))),""),"")</f>
        <v/>
      </c>
      <c r="X90" s="391" t="str">
        <f ca="1">IFERROR(IF($M90,IF(AND(career_stage="P",teacher_type="R"),INDEX(INDIRECT("RPS["&amp;X$10&amp;"]"),MATCH($H90,RPS[helper],0),1), IF(AND(career_stage="HP",teacher_type="R"), INDEX(INDIRECT("RHPS["&amp;X$10&amp;"]"),MATCH($H90,RHPS[helper],0),1), IF(AND(career_stage="P",teacher_type="TB"),INDEX(INDIRECT("TBPS["&amp;X$10&amp;"]"),MATCH($H90,TBPS[helper],0),1), IF(AND(career_stage="HP",teacher_type="TB"),INDEX(INDIRECT("TBHPS["&amp;X$10&amp;"]"),MATCH($H90,TBHPS[helper],0),1),"")))),""),"")</f>
        <v/>
      </c>
      <c r="Y90" s="391" t="str">
        <f ca="1">IFERROR(IF($M90,IF(AND(career_stage="P",teacher_type="R"),INDEX(INDIRECT("RPS["&amp;Y$10&amp;"]"),MATCH($H90,RPS[helper],0),1), IF(AND(career_stage="HP",teacher_type="R"), INDEX(INDIRECT("RHPS["&amp;Y$10&amp;"]"),MATCH($H90,RHPS[helper],0),1), IF(AND(career_stage="P",teacher_type="TB"),INDEX(INDIRECT("TBPS["&amp;Y$10&amp;"]"),MATCH($H90,TBPS[helper],0),1), IF(AND(career_stage="HP",teacher_type="TB"),INDEX(INDIRECT("TBHPS["&amp;Y$10&amp;"]"),MATCH($H90,TBHPS[helper],0),1),"")))),""),"")</f>
        <v/>
      </c>
      <c r="Z90" s="391" t="str">
        <f ca="1">IFERROR(IF($M90,IF(AND(career_stage="P",teacher_type="R"),INDEX(INDIRECT("RPS["&amp;Z$10&amp;"]"),MATCH($H90,RPS[helper],0),1), IF(AND(career_stage="HP",teacher_type="R"), INDEX(INDIRECT("RHPS["&amp;Z$10&amp;"]"),MATCH($H90,RHPS[helper],0),1), IF(AND(career_stage="P",teacher_type="TB"),INDEX(INDIRECT("TBPS["&amp;Z$10&amp;"]"),MATCH($H90,TBPS[helper],0),1), IF(AND(career_stage="HP",teacher_type="TB"),INDEX(INDIRECT("TBHPS["&amp;Z$10&amp;"]"),MATCH($H90,TBHPS[helper],0),1),"")))),""),"")</f>
        <v/>
      </c>
      <c r="AA90" s="392" t="str" cm="1">
        <f t="array" ref="AA90">IFERROR(INDEX(V90:Z90,6-AB90),"")</f>
        <v/>
      </c>
      <c r="AB90" s="680" t="str">
        <f>IF('Encoding Part 1'!AB48="","",'Encoding Part 1'!AB48)</f>
        <v/>
      </c>
      <c r="AC90" s="680" t="str">
        <f>IF('Encoding Part 1'!AC48="","",'Encoding Part 1'!AC48)</f>
        <v/>
      </c>
      <c r="AD90" s="680" t="str">
        <f>IF('Encoding Part 1'!AD48="","",'Encoding Part 1'!AD48)</f>
        <v/>
      </c>
      <c r="AE90" s="682">
        <f t="shared" ref="AE90" si="52">IFERROR(ROUNDDOWN(AVERAGE($AB90:$AD90),3),0)</f>
        <v>0</v>
      </c>
      <c r="AF90" s="661">
        <f t="shared" ref="AF90" si="53">ROUNDDOWN($AE90*$T90,3)</f>
        <v>0</v>
      </c>
      <c r="AG90" s="5"/>
    </row>
    <row r="91" spans="1:33" hidden="1" x14ac:dyDescent="0.25">
      <c r="A91" s="92">
        <v>27</v>
      </c>
      <c r="B91" s="99" t="str" cm="1">
        <f t="array" ref="B91">IFERROR(IF(AND(teacher_type="R",career_stage="P"),INDEX(RPI[Strand],$A91),IF(AND(teacher_type="R",career_stage="HP"),INDEX(RHPI[Strand],$A91), IF(AND(teacher_type="TB",career_stage="P"),INDEX(TBPI[Strand],$A91), IF(AND(teacher_type="TB",career_stage="HP"),INDEX(TBHPI[Strand],$A91),0)))),0)</f>
        <v>5.4.2</v>
      </c>
      <c r="C91" s="99">
        <f>IFERROR(IF(AND(teacher_type="R",career_stage="P"),VLOOKUP($B91,RPI[[Strand]:[Domain]],COLUMNS(RPI[[Strand]:[Domain]]),FALSE), IF(AND(teacher_type="R",career_stage="HP"),VLOOKUP($B91,RHPI[[Strand]:[Domain]],COLUMNS(RHPI[[Strand]:[Domain]]),FALSE), IF(AND(teacher_type="TB",career_stage="P"),VLOOKUP($B91,TBPI[[Strand]:[Domain]],COLUMNS(TBPI[[Strand]:[Domain]]),FALSE), IF(AND(teacher_type="TB",career_stage="HP"),VLOOKUP($B91,TBHPI[[Strand]:[Domain]],COLUMNS(TBHPI[[Strand]:[Domain]]),FALSE),"")))),"")</f>
        <v>4</v>
      </c>
      <c r="D91" s="99" t="b">
        <f>IFERROR(IF(AND(career_stage="P",teacher_type="R"),VLOOKUP(B91,RPI[],COLUMNS(RPI[[Strand]:[Selected]]),FALSE), IF(AND(career_stage="HP",teacher_type="R"),VLOOKUP(B91,RHPI[],COLUMNS(RHPI[[Strand]:[Selected]]),FALSE), IF(AND(career_stage="P",teacher_type="TB"),VLOOKUP(B91,TBPI[],COLUMNS(TBPI[[Strand]:[Selected]]),FALSE), IF(AND(career_stage="HP",teacher_type="TB"),VLOOKUP(B91,TBHPI[],COLUMNS(TBHPI[[Strand]:[Selected]]),FALSE),FALSE)))),FALSE)</f>
        <v>0</v>
      </c>
      <c r="E91" s="92" t="b">
        <f>COUNTIFS($C$12:$C91,C91,$D$12:$D91,TRUE)=1</f>
        <v>0</v>
      </c>
      <c r="F91" s="92" t="b">
        <f>COUNTIFS($C$12:$C91,$C91,$B$12:$B91,$B91,$D$12:$D91,TRUE)=1</f>
        <v>0</v>
      </c>
      <c r="G91" s="99">
        <f>IF($F91,COUNTIFS($C$12:$C91,C91,$F$12:$F91,TRUE),0)</f>
        <v>0</v>
      </c>
      <c r="H91" s="99" t="str">
        <f t="shared" si="43"/>
        <v>5.4.2-E</v>
      </c>
      <c r="I91" s="99">
        <f>IF(AND(D91,NOT($A91=$A90)),(COUNTIF($D$11:$D90,TRUE)/3)+1,0)</f>
        <v>0</v>
      </c>
      <c r="J91" s="99" t="s">
        <v>1073</v>
      </c>
      <c r="K91" s="99" t="b">
        <f>IF(AND(teacher_type="R",career_stage="P"),IF(AND(COUNTIFS(RPS[Strand],$B91,RPS[QET],$J91)&gt;0,$D91),TRUE,FALSE), IF(AND(teacher_type="R",career_stage="HP"),IF(AND(COUNTIFS(RHPS[Strand],$B91,RHPS[QET],$J91)&gt;0,$D91),TRUE,FALSE), IF(AND(teacher_type="TB",career_stage="P"),IF(AND(COUNTIFS(TBPS[Strand],$B91,TBPS[QET],$J91)&gt;0,$D91),TRUE,FALSE), IF(AND(teacher_type="TB",career_stage="HP"),IF(AND(COUNTIFS(TBHPS[Strand],$B91,TBHPS[QET],$J91)&gt;0,$D91),TRUE,FALSE),FALSE))))</f>
        <v>0</v>
      </c>
      <c r="L91" s="99" t="str">
        <f>IF($K91,IF(AND(teacher_type="R",career_stage="P"),VLOOKUP($B91,RPI[],COLUMNS(RPI[[Strand]:[user_selected_coi_ncoi]]),FALSE), IF(AND(teacher_type="R",career_stage="HP"),VLOOKUP($B91,RHPI[],COLUMNS(RHPI[[Strand]:[user_selected_coi_ncoi]]),FALSE), IF(AND(teacher_type="TB",career_stage="P"),VLOOKUP($B91,TBPI[],COLUMNS(TBPI[[Strand]:[user_selected_coi_ncoi]]),FALSE), IF(AND(teacher_type="TB",career_stage="HP"),VLOOKUP($B91,TBHPI[],COLUMNS(TBHPI[[Strand]:[user_selected_coi_ncoi]]),FALSE),"")))),"")</f>
        <v/>
      </c>
      <c r="M91" s="99" t="b">
        <f>IF(AND(teacher_type="R",career_stage="P"),IF(AND(COUNTIFS(RPS[Strand],$B91,RPS[QET],M$11)&gt;0,$D91),TRUE,FALSE),IF(AND(teacher_type="R",career_stage="HP"),IF(AND(COUNTIFS(RHPS[Strand],$B91,RHPS[QET],M$11)&gt;0,$D91),TRUE,FALSE), IF(AND(teacher_type="TB",career_stage="P"),IF(AND(COUNTIFS(TBPS[Strand],$B91,TBPS[QET],M$11)&gt;0,$D91),TRUE,FALSE), IF(AND(teacher_type="TB",career_stage="HP"),IF(AND(COUNTIFS(TBHPS[Strand],$B91,TBHPS[QET],M$11)&gt;0,$D91),TRUE,FALSE),FALSE))))</f>
        <v>0</v>
      </c>
      <c r="N91" s="99" t="b">
        <f>IF(AND(teacher_type="R",career_stage="P"),IF(AND(COUNTIFS(RPS[Strand],$B91,RPS[QET],N$11)&gt;0,$D91),TRUE,FALSE),IF(AND(teacher_type="R",career_stage="HP"),IF(AND(COUNTIFS(RHPS[Strand],$B91,RHPS[QET],N$11)&gt;0,$D91),TRUE,FALSE), IF(AND(teacher_type="TB",career_stage="P"),IF(AND(COUNTIFS(TBPS[Strand],$B91,TBPS[QET],N$11)&gt;0,$D91),TRUE,FALSE), IF(AND(teacher_type="TB",career_stage="HP"),IF(AND(COUNTIFS(TBHPS[Strand],$B91,TBHPS[QET],N$11)&gt;0,$D91),TRUE,FALSE),FALSE))))</f>
        <v>0</v>
      </c>
      <c r="O91" s="99" t="b">
        <f>IF(AND(teacher_type="R",career_stage="P"),IF(AND(COUNTIFS(RPS[Strand],$B91,RPS[QET],O$11)&gt;0,$D91),TRUE,FALSE),IF(AND(teacher_type="R",career_stage="HP"),IF(AND(COUNTIFS(RHPS[Strand],$B91,RHPS[QET],O$11)&gt;0,$D91),TRUE,FALSE), IF(AND(teacher_type="TB",career_stage="P"),IF(AND(COUNTIFS(TBPS[Strand],$B91,TBPS[QET],O$11)&gt;0,$D91),TRUE,FALSE), IF(AND(teacher_type="TB",career_stage="HP"),IF(AND(COUNTIFS(TBHPS[Strand],$B91,TBHPS[QET],O$11)&gt;0,$D91),TRUE,FALSE),FALSE))))</f>
        <v>0</v>
      </c>
      <c r="P91" s="710"/>
      <c r="Q91" s="662"/>
      <c r="R91" s="663"/>
      <c r="S91" s="664"/>
      <c r="T91" s="678"/>
      <c r="U91" s="94" t="s">
        <v>1186</v>
      </c>
      <c r="V91" s="391" t="str">
        <f ca="1">IFERROR(IF($N91,IF(AND(career_stage="P",teacher_type="R"),INDEX(INDIRECT("RPS["&amp;V$10&amp;"]"),MATCH($H91,RPS[helper],0),1), IF(AND(career_stage="HP",teacher_type="R"), INDEX(INDIRECT("RHPS["&amp;V$10&amp;"]"),MATCH($H91,RHPS[helper],0),1), IF(AND(career_stage="P",teacher_type="TB"),INDEX(INDIRECT("TBPS["&amp;V$10&amp;"]"),MATCH($H91,TBPS[helper],0),1), IF(AND(career_stage="HP",teacher_type="TB"),INDEX(INDIRECT("TBHPS["&amp;V$10&amp;"]"),MATCH($H91,TBHPS[helper],0),1),"")))),""),"")</f>
        <v/>
      </c>
      <c r="W91" s="391" t="str">
        <f ca="1">IFERROR(IF($N91,IF(AND(career_stage="P",teacher_type="R"),INDEX(INDIRECT("RPS["&amp;W$10&amp;"]"),MATCH($H91,RPS[helper],0),1), IF(AND(career_stage="HP",teacher_type="R"), INDEX(INDIRECT("RHPS["&amp;W$10&amp;"]"),MATCH($H91,RHPS[helper],0),1), IF(AND(career_stage="P",teacher_type="TB"),INDEX(INDIRECT("TBPS["&amp;W$10&amp;"]"),MATCH($H91,TBPS[helper],0),1), IF(AND(career_stage="HP",teacher_type="TB"),INDEX(INDIRECT("TBHPS["&amp;W$10&amp;"]"),MATCH($H91,TBHPS[helper],0),1),"")))),""),"")</f>
        <v/>
      </c>
      <c r="X91" s="391" t="str">
        <f ca="1">IFERROR(IF($N91,IF(AND(career_stage="P",teacher_type="R"),INDEX(INDIRECT("RPS["&amp;X$10&amp;"]"),MATCH($H91,RPS[helper],0),1), IF(AND(career_stage="HP",teacher_type="R"), INDEX(INDIRECT("RHPS["&amp;X$10&amp;"]"),MATCH($H91,RHPS[helper],0),1), IF(AND(career_stage="P",teacher_type="TB"),INDEX(INDIRECT("TBPS["&amp;X$10&amp;"]"),MATCH($H91,TBPS[helper],0),1), IF(AND(career_stage="HP",teacher_type="TB"),INDEX(INDIRECT("TBHPS["&amp;X$10&amp;"]"),MATCH($H91,TBHPS[helper],0),1),"")))),""),"")</f>
        <v/>
      </c>
      <c r="Y91" s="391" t="str">
        <f ca="1">IFERROR(IF($N91,IF(AND(career_stage="P",teacher_type="R"),INDEX(INDIRECT("RPS["&amp;Y$10&amp;"]"),MATCH($H91,RPS[helper],0),1), IF(AND(career_stage="HP",teacher_type="R"), INDEX(INDIRECT("RHPS["&amp;Y$10&amp;"]"),MATCH($H91,RHPS[helper],0),1), IF(AND(career_stage="P",teacher_type="TB"),INDEX(INDIRECT("TBPS["&amp;Y$10&amp;"]"),MATCH($H91,TBPS[helper],0),1), IF(AND(career_stage="HP",teacher_type="TB"),INDEX(INDIRECT("TBHPS["&amp;Y$10&amp;"]"),MATCH($H91,TBHPS[helper],0),1),"")))),""),"")</f>
        <v/>
      </c>
      <c r="Z91" s="391" t="str">
        <f ca="1">IFERROR(IF($N91,IF(AND(career_stage="P",teacher_type="R"),INDEX(INDIRECT("RPS["&amp;Z$10&amp;"]"),MATCH($H91,RPS[helper],0),1), IF(AND(career_stage="HP",teacher_type="R"), INDEX(INDIRECT("RHPS["&amp;Z$10&amp;"]"),MATCH($H91,RHPS[helper],0),1), IF(AND(career_stage="P",teacher_type="TB"),INDEX(INDIRECT("TBPS["&amp;Z$10&amp;"]"),MATCH($H91,TBPS[helper],0),1), IF(AND(career_stage="HP",teacher_type="TB"),INDEX(INDIRECT("TBHPS["&amp;Z$10&amp;"]"),MATCH($H91,TBHPS[helper],0),1),"")))),""),"")</f>
        <v/>
      </c>
      <c r="AA91" s="392" t="str" cm="1">
        <f t="array" ref="AA91">IFERROR(INDEX(V91:Z91,6-AC90),"")</f>
        <v/>
      </c>
      <c r="AB91" s="680"/>
      <c r="AC91" s="680"/>
      <c r="AD91" s="680"/>
      <c r="AE91" s="682"/>
      <c r="AF91" s="661"/>
      <c r="AG91" s="5"/>
    </row>
    <row r="92" spans="1:33" hidden="1" x14ac:dyDescent="0.25">
      <c r="A92" s="92">
        <v>27</v>
      </c>
      <c r="B92" s="99" t="str" cm="1">
        <f t="array" ref="B92">IFERROR(IF(AND(teacher_type="R",career_stage="P"),INDEX(RPI[Strand],$A92),IF(AND(teacher_type="R",career_stage="HP"),INDEX(RHPI[Strand],$A92), IF(AND(teacher_type="TB",career_stage="P"),INDEX(TBPI[Strand],$A92), IF(AND(teacher_type="TB",career_stage="HP"),INDEX(TBHPI[Strand],$A92),0)))),0)</f>
        <v>5.4.2</v>
      </c>
      <c r="C92" s="99">
        <f>IFERROR(IF(AND(teacher_type="R",career_stage="P"),VLOOKUP($B92,RPI[[Strand]:[Domain]],COLUMNS(RPI[[Strand]:[Domain]]),FALSE), IF(AND(teacher_type="R",career_stage="HP"),VLOOKUP($B92,RHPI[[Strand]:[Domain]],COLUMNS(RHPI[[Strand]:[Domain]]),FALSE), IF(AND(teacher_type="TB",career_stage="P"),VLOOKUP($B92,TBPI[[Strand]:[Domain]],COLUMNS(TBPI[[Strand]:[Domain]]),FALSE), IF(AND(teacher_type="TB",career_stage="HP"),VLOOKUP($B92,TBHPI[[Strand]:[Domain]],COLUMNS(TBHPI[[Strand]:[Domain]]),FALSE),"")))),"")</f>
        <v>4</v>
      </c>
      <c r="D92" s="99" t="b">
        <f>IFERROR(IF(AND(career_stage="P",teacher_type="R"),VLOOKUP(B92,RPI[],COLUMNS(RPI[[Strand]:[Selected]]),FALSE), IF(AND(career_stage="HP",teacher_type="R"),VLOOKUP(B92,RHPI[],COLUMNS(RHPI[[Strand]:[Selected]]),FALSE), IF(AND(career_stage="P",teacher_type="TB"),VLOOKUP(B92,TBPI[],COLUMNS(TBPI[[Strand]:[Selected]]),FALSE), IF(AND(career_stage="HP",teacher_type="TB"),VLOOKUP(B92,TBHPI[],COLUMNS(TBHPI[[Strand]:[Selected]]),FALSE),FALSE)))),FALSE)</f>
        <v>0</v>
      </c>
      <c r="E92" s="92" t="b">
        <f>COUNTIFS($C$12:$C92,C92,$D$12:$D92,TRUE)=1</f>
        <v>0</v>
      </c>
      <c r="F92" s="92" t="b">
        <f>COUNTIFS($C$12:$C92,$C92,$B$12:$B92,$B92,$D$12:$D92,TRUE)=1</f>
        <v>0</v>
      </c>
      <c r="G92" s="99">
        <f>IF($F92,COUNTIFS($C$12:$C92,C92,$F$12:$F92,TRUE),0)</f>
        <v>0</v>
      </c>
      <c r="H92" s="99" t="str">
        <f t="shared" si="43"/>
        <v>5.4.2-T</v>
      </c>
      <c r="I92" s="99">
        <f>IF(AND(D92,NOT($A92=$A91)),(COUNTIF($D$11:$D91,TRUE)/3)+1,0)</f>
        <v>0</v>
      </c>
      <c r="J92" s="99" t="s">
        <v>1014</v>
      </c>
      <c r="K92" s="99" t="b">
        <f>IF(AND(teacher_type="R",career_stage="P"),IF(AND(COUNTIFS(RPS[Strand],$B92,RPS[QET],$J92)&gt;0,$D92),TRUE,FALSE), IF(AND(teacher_type="R",career_stage="HP"),IF(AND(COUNTIFS(RHPS[Strand],$B92,RHPS[QET],$J92)&gt;0,$D92),TRUE,FALSE), IF(AND(teacher_type="TB",career_stage="P"),IF(AND(COUNTIFS(TBPS[Strand],$B92,TBPS[QET],$J92)&gt;0,$D92),TRUE,FALSE), IF(AND(teacher_type="TB",career_stage="HP"),IF(AND(COUNTIFS(TBHPS[Strand],$B92,TBHPS[QET],$J92)&gt;0,$D92),TRUE,FALSE),FALSE))))</f>
        <v>0</v>
      </c>
      <c r="L92" s="99" t="str">
        <f>IF($K92,IF(AND(teacher_type="R",career_stage="P"),VLOOKUP($B92,RPI[],COLUMNS(RPI[[Strand]:[user_selected_coi_ncoi]]),FALSE), IF(AND(teacher_type="R",career_stage="HP"),VLOOKUP($B92,RHPI[],COLUMNS(RHPI[[Strand]:[user_selected_coi_ncoi]]),FALSE), IF(AND(teacher_type="TB",career_stage="P"),VLOOKUP($B92,TBPI[],COLUMNS(TBPI[[Strand]:[user_selected_coi_ncoi]]),FALSE), IF(AND(teacher_type="TB",career_stage="HP"),VLOOKUP($B92,TBHPI[],COLUMNS(TBHPI[[Strand]:[user_selected_coi_ncoi]]),FALSE),"")))),"")</f>
        <v/>
      </c>
      <c r="M92" s="99" t="b">
        <f>IF(AND(teacher_type="R",career_stage="P"),IF(AND(COUNTIFS(RPS[Strand],$B92,RPS[QET],M$11)&gt;0,$D92),TRUE,FALSE),IF(AND(teacher_type="R",career_stage="HP"),IF(AND(COUNTIFS(RHPS[Strand],$B92,RHPS[QET],M$11)&gt;0,$D92),TRUE,FALSE), IF(AND(teacher_type="TB",career_stage="P"),IF(AND(COUNTIFS(TBPS[Strand],$B92,TBPS[QET],M$11)&gt;0,$D92),TRUE,FALSE), IF(AND(teacher_type="TB",career_stage="HP"),IF(AND(COUNTIFS(TBHPS[Strand],$B92,TBHPS[QET],M$11)&gt;0,$D92),TRUE,FALSE),FALSE))))</f>
        <v>0</v>
      </c>
      <c r="N92" s="99" t="b">
        <f>IF(AND(teacher_type="R",career_stage="P"),IF(AND(COUNTIFS(RPS[Strand],$B92,RPS[QET],N$11)&gt;0,$D92),TRUE,FALSE),IF(AND(teacher_type="R",career_stage="HP"),IF(AND(COUNTIFS(RHPS[Strand],$B92,RHPS[QET],N$11)&gt;0,$D92),TRUE,FALSE), IF(AND(teacher_type="TB",career_stage="P"),IF(AND(COUNTIFS(TBPS[Strand],$B92,TBPS[QET],N$11)&gt;0,$D92),TRUE,FALSE), IF(AND(teacher_type="TB",career_stage="HP"),IF(AND(COUNTIFS(TBHPS[Strand],$B92,TBHPS[QET],N$11)&gt;0,$D92),TRUE,FALSE),FALSE))))</f>
        <v>0</v>
      </c>
      <c r="O92" s="99" t="b">
        <f>IF(AND(teacher_type="R",career_stage="P"),IF(AND(COUNTIFS(RPS[Strand],$B92,RPS[QET],O$11)&gt;0,$D92),TRUE,FALSE),IF(AND(teacher_type="R",career_stage="HP"),IF(AND(COUNTIFS(RHPS[Strand],$B92,RHPS[QET],O$11)&gt;0,$D92),TRUE,FALSE), IF(AND(teacher_type="TB",career_stage="P"),IF(AND(COUNTIFS(TBPS[Strand],$B92,TBPS[QET],O$11)&gt;0,$D92),TRUE,FALSE), IF(AND(teacher_type="TB",career_stage="HP"),IF(AND(COUNTIFS(TBHPS[Strand],$B92,TBHPS[QET],O$11)&gt;0,$D92),TRUE,FALSE),FALSE))))</f>
        <v>0</v>
      </c>
      <c r="P92" s="710"/>
      <c r="Q92" s="662"/>
      <c r="R92" s="663"/>
      <c r="S92" s="664"/>
      <c r="T92" s="678"/>
      <c r="U92" s="94" t="s">
        <v>1187</v>
      </c>
      <c r="V92" s="391" t="str">
        <f ca="1">IFERROR(IF($O92,IF(AND(career_stage="P",teacher_type="R"),INDEX(INDIRECT("RPS["&amp;V$10&amp;"]"),MATCH($H92,RPS[helper],0),1), IF(AND(career_stage="HP",teacher_type="R"), INDEX(INDIRECT("RHPS["&amp;V$10&amp;"]"),MATCH($H92,RHPS[helper],0),1), IF(AND(career_stage="P",teacher_type="TB"),INDEX(INDIRECT("TBPS["&amp;V$10&amp;"]"),MATCH($H92,TBPS[helper],0),1), IF(AND(career_stage="HP",teacher_type="TB"),INDEX(INDIRECT("TBHPS["&amp;V$10&amp;"]"),MATCH($H92,TBHPS[helper],0),1),"")))),""),"")</f>
        <v/>
      </c>
      <c r="W92" s="391" t="str">
        <f ca="1">IFERROR(IF($O92,IF(AND(career_stage="P",teacher_type="R"),INDEX(INDIRECT("RPS["&amp;W$10&amp;"]"),MATCH($H92,RPS[helper],0),1), IF(AND(career_stage="HP",teacher_type="R"), INDEX(INDIRECT("RHPS["&amp;W$10&amp;"]"),MATCH($H92,RHPS[helper],0),1), IF(AND(career_stage="P",teacher_type="TB"),INDEX(INDIRECT("TBPS["&amp;W$10&amp;"]"),MATCH($H92,TBPS[helper],0),1), IF(AND(career_stage="HP",teacher_type="TB"),INDEX(INDIRECT("TBHPS["&amp;W$10&amp;"]"),MATCH($H92,TBHPS[helper],0),1),"")))),""),"")</f>
        <v/>
      </c>
      <c r="X92" s="391" t="str">
        <f ca="1">IFERROR(IF($O92,IF(AND(career_stage="P",teacher_type="R"),INDEX(INDIRECT("RPS["&amp;X$10&amp;"]"),MATCH($H92,RPS[helper],0),1), IF(AND(career_stage="HP",teacher_type="R"), INDEX(INDIRECT("RHPS["&amp;X$10&amp;"]"),MATCH($H92,RHPS[helper],0),1), IF(AND(career_stage="P",teacher_type="TB"),INDEX(INDIRECT("TBPS["&amp;X$10&amp;"]"),MATCH($H92,TBPS[helper],0),1), IF(AND(career_stage="HP",teacher_type="TB"),INDEX(INDIRECT("TBHPS["&amp;X$10&amp;"]"),MATCH($H92,TBHPS[helper],0),1),"")))),""),"")</f>
        <v/>
      </c>
      <c r="Y92" s="391" t="str">
        <f ca="1">IFERROR(IF($O92,IF(AND(career_stage="P",teacher_type="R"),INDEX(INDIRECT("RPS["&amp;Y$10&amp;"]"),MATCH($H92,RPS[helper],0),1), IF(AND(career_stage="HP",teacher_type="R"), INDEX(INDIRECT("RHPS["&amp;Y$10&amp;"]"),MATCH($H92,RHPS[helper],0),1), IF(AND(career_stage="P",teacher_type="TB"),INDEX(INDIRECT("TBPS["&amp;Y$10&amp;"]"),MATCH($H92,TBPS[helper],0),1), IF(AND(career_stage="HP",teacher_type="TB"),INDEX(INDIRECT("TBHPS["&amp;Y$10&amp;"]"),MATCH($H92,TBHPS[helper],0),1),"")))),""),"")</f>
        <v/>
      </c>
      <c r="Z92" s="391" t="str">
        <f ca="1">IFERROR(IF($O92,IF(AND(career_stage="P",teacher_type="R"),INDEX(INDIRECT("RPS["&amp;Z$10&amp;"]"),MATCH($H92,RPS[helper],0),1), IF(AND(career_stage="HP",teacher_type="R"), INDEX(INDIRECT("RHPS["&amp;Z$10&amp;"]"),MATCH($H92,RHPS[helper],0),1), IF(AND(career_stage="P",teacher_type="TB"),INDEX(INDIRECT("TBPS["&amp;Z$10&amp;"]"),MATCH($H92,TBPS[helper],0),1), IF(AND(career_stage="HP",teacher_type="TB"),INDEX(INDIRECT("TBHPS["&amp;Z$10&amp;"]"),MATCH($H92,TBHPS[helper],0),1),"")))),""),"")</f>
        <v/>
      </c>
      <c r="AA92" s="391" t="str" cm="1">
        <f t="array" ref="AA92">IFERROR(INDEX(V92:Z92,6-AD90),"")</f>
        <v/>
      </c>
      <c r="AB92" s="680"/>
      <c r="AC92" s="680"/>
      <c r="AD92" s="680"/>
      <c r="AE92" s="682"/>
      <c r="AF92" s="661"/>
      <c r="AG92" s="5"/>
    </row>
    <row r="93" spans="1:33" ht="114.75" x14ac:dyDescent="0.25">
      <c r="A93" s="92">
        <v>28</v>
      </c>
      <c r="B93" s="99" t="str" cm="1">
        <f t="array" ref="B93">IFERROR(IF(AND(teacher_type="R",career_stage="P"),INDEX(RPI[Strand],$A93),IF(AND(teacher_type="R",career_stage="HP"),INDEX(RHPI[Strand],$A93), IF(AND(teacher_type="TB",career_stage="P"),INDEX(TBPI[Strand],$A93), IF(AND(teacher_type="TB",career_stage="HP"),INDEX(TBHPI[Strand],$A93),0)))),0)</f>
        <v>5.5.2</v>
      </c>
      <c r="C93" s="99">
        <f>IFERROR(IF(AND(teacher_type="R",career_stage="P"),VLOOKUP($B93,RPI[[Strand]:[Domain]],COLUMNS(RPI[[Strand]:[Domain]]),FALSE), IF(AND(teacher_type="R",career_stage="HP"),VLOOKUP($B93,RHPI[[Strand]:[Domain]],COLUMNS(RHPI[[Strand]:[Domain]]),FALSE), IF(AND(teacher_type="TB",career_stage="P"),VLOOKUP($B93,TBPI[[Strand]:[Domain]],COLUMNS(TBPI[[Strand]:[Domain]]),FALSE), IF(AND(teacher_type="TB",career_stage="HP"),VLOOKUP($B93,TBHPI[[Strand]:[Domain]],COLUMNS(TBHPI[[Strand]:[Domain]]),FALSE),"")))),"")</f>
        <v>3</v>
      </c>
      <c r="D93" s="99" t="b">
        <f>IFERROR(IF(AND(career_stage="P",teacher_type="R"),VLOOKUP(B93,RPI[],COLUMNS(RPI[[Strand]:[Selected]]),FALSE), IF(AND(career_stage="HP",teacher_type="R"),VLOOKUP(B93,RHPI[],COLUMNS(RHPI[[Strand]:[Selected]]),FALSE), IF(AND(career_stage="P",teacher_type="TB"),VLOOKUP(B93,TBPI[],COLUMNS(TBPI[[Strand]:[Selected]]),FALSE), IF(AND(career_stage="HP",teacher_type="TB"),VLOOKUP(B93,TBHPI[],COLUMNS(TBHPI[[Strand]:[Selected]]),FALSE),FALSE)))),FALSE)</f>
        <v>1</v>
      </c>
      <c r="E93" s="92" t="b">
        <f>COUNTIFS($C$12:$C93,C93,$D$12:$D93,TRUE)=1</f>
        <v>0</v>
      </c>
      <c r="F93" s="92" t="b">
        <f>COUNTIFS($C$12:$C93,$C93,$B$12:$B93,$B93,$D$12:$D93,TRUE)=1</f>
        <v>1</v>
      </c>
      <c r="G93" s="99">
        <f>IF($F93,COUNTIFS($C$12:$C93,C93,$F$12:$F93,TRUE),0)</f>
        <v>3</v>
      </c>
      <c r="H93" s="99" t="str">
        <f t="shared" si="43"/>
        <v>5.5.2-Q-NCOI</v>
      </c>
      <c r="I93" s="99">
        <f>IF(AND(D93,NOT($A93=$A92)),(COUNTIF($D$11:$D92,TRUE)/3)+1,0)</f>
        <v>11</v>
      </c>
      <c r="J93" s="99" t="s">
        <v>1012</v>
      </c>
      <c r="K93" s="99" t="b">
        <f>IF(AND(teacher_type="R",career_stage="P"),IF(AND(COUNTIFS(RPS[Strand],$B93,RPS[QET],$J93)&gt;0,$D93),TRUE,FALSE), IF(AND(teacher_type="R",career_stage="HP"),IF(AND(COUNTIFS(RHPS[Strand],$B93,RHPS[QET],$J93)&gt;0,$D93),TRUE,FALSE), IF(AND(teacher_type="TB",career_stage="P"),IF(AND(COUNTIFS(TBPS[Strand],$B93,TBPS[QET],$J93)&gt;0,$D93),TRUE,FALSE), IF(AND(teacher_type="TB",career_stage="HP"),IF(AND(COUNTIFS(TBHPS[Strand],$B93,TBHPS[QET],$J93)&gt;0,$D93),TRUE,FALSE),FALSE))))</f>
        <v>1</v>
      </c>
      <c r="L93" s="99" t="str">
        <f>IF($K93,IF(AND(teacher_type="R",career_stage="P"),VLOOKUP($B93,RPI[],COLUMNS(RPI[[Strand]:[user_selected_coi_ncoi]]),FALSE), IF(AND(teacher_type="R",career_stage="HP"),VLOOKUP($B93,RHPI[],COLUMNS(RHPI[[Strand]:[user_selected_coi_ncoi]]),FALSE), IF(AND(teacher_type="TB",career_stage="P"),VLOOKUP($B93,TBPI[],COLUMNS(TBPI[[Strand]:[user_selected_coi_ncoi]]),FALSE), IF(AND(teacher_type="TB",career_stage="HP"),VLOOKUP($B93,TBHPI[],COLUMNS(TBHPI[[Strand]:[user_selected_coi_ncoi]]),FALSE),"")))),"")</f>
        <v>NCOI</v>
      </c>
      <c r="M93" s="99" t="b">
        <f>IF(AND(teacher_type="R",career_stage="P"),IF(AND(COUNTIFS(RPS[Strand],$B93,RPS[QET],M$11)&gt;0,$D93),TRUE,FALSE),IF(AND(teacher_type="R",career_stage="HP"),IF(AND(COUNTIFS(RHPS[Strand],$B93,RHPS[QET],M$11)&gt;0,$D93),TRUE,FALSE), IF(AND(teacher_type="TB",career_stage="P"),IF(AND(COUNTIFS(TBPS[Strand],$B93,TBPS[QET],M$11)&gt;0,$D93),TRUE,FALSE), IF(AND(teacher_type="TB",career_stage="HP"),IF(AND(COUNTIFS(TBHPS[Strand],$B93,TBHPS[QET],M$11)&gt;0,$D93),TRUE,FALSE),FALSE))))</f>
        <v>1</v>
      </c>
      <c r="N93" s="99" t="b">
        <f>IF(AND(teacher_type="R",career_stage="P"),IF(AND(COUNTIFS(RPS[Strand],$B93,RPS[QET],N$11)&gt;0,$D93),TRUE,FALSE),IF(AND(teacher_type="R",career_stage="HP"),IF(AND(COUNTIFS(RHPS[Strand],$B93,RHPS[QET],N$11)&gt;0,$D93),TRUE,FALSE), IF(AND(teacher_type="TB",career_stage="P"),IF(AND(COUNTIFS(TBPS[Strand],$B93,TBPS[QET],N$11)&gt;0,$D93),TRUE,FALSE), IF(AND(teacher_type="TB",career_stage="HP"),IF(AND(COUNTIFS(TBHPS[Strand],$B93,TBHPS[QET],N$11)&gt;0,$D93),TRUE,FALSE),FALSE))))</f>
        <v>0</v>
      </c>
      <c r="O93" s="99" t="b">
        <f>IF(AND(teacher_type="R",career_stage="P"),IF(AND(COUNTIFS(RPS[Strand],$B93,RPS[QET],O$11)&gt;0,$D93),TRUE,FALSE),IF(AND(teacher_type="R",career_stage="HP"),IF(AND(COUNTIFS(RHPS[Strand],$B93,RHPS[QET],O$11)&gt;0,$D93),TRUE,FALSE), IF(AND(teacher_type="TB",career_stage="P"),IF(AND(COUNTIFS(TBPS[Strand],$B93,TBPS[QET],O$11)&gt;0,$D93),TRUE,FALSE), IF(AND(teacher_type="TB",career_stage="HP"),IF(AND(COUNTIFS(TBHPS[Strand],$B93,TBHPS[QET],O$11)&gt;0,$D93),TRUE,FALSE),FALSE))))</f>
        <v>1</v>
      </c>
      <c r="P93" s="710"/>
      <c r="Q93" s="662" t="str">
        <f>IFERROR(IF(E93,IF(C93="Plus Factor","Plus Factor",C93 &amp; ". " &amp; INDEX(Domains[Domain],MATCH(C93,Domains[Domain_code],0),1)),""),"")</f>
        <v/>
      </c>
      <c r="R93" s="663" t="str">
        <f>IFERROR(IF($F93,$I93 &amp; ". " &amp; IF(AND(career_stage="P",teacher_type="R"), INDEX(RPI[PPST Indicators],MATCH($B93,RPI[Strand],0),1), IF(AND(career_stage="HP",teacher_type="R"),INDEX(RHPI[PPST Indicators],MATCH($B93,RHPI[Strand],0),1), IF(AND(career_stage="P",teacher_type="TB"),INDEX(TBPI[PPST Indicators],MATCH($B93,TBPI[Strand],0),1), IF(AND(career_stage="HP",teacher_type="TB"),INDEX(TBHPI[PPST Indicators],MATCH($B93,TBHPI[Strand],0),1),"")))) &amp; IF(NOT(TRIM(LOWER($C93))="plus factor")," (PPST "&amp;B93&amp;")",""),""),"")</f>
        <v>11. Utilized assessment data to inform the modification of teaching and learning practices and programs (PPST 5.5.2)</v>
      </c>
      <c r="S93" s="664" t="str" cm="1">
        <f t="array" ref="S93">demographics[rating_period]</f>
        <v>SY 2023-2024</v>
      </c>
      <c r="T93" s="678">
        <f>IFERROR(IF(AND(career_stage="P",teacher_type="R"),VLOOKUP(B93,RPI[],COLUMNS(RPI[[Strand]:[Weight]]),FALSE), IF(AND(career_stage="HP",teacher_type="R"),VLOOKUP(B93,RHPI[],COLUMNS(RHPI[[Strand]:[Weight]]),FALSE), IF(AND(career_stage="P",teacher_type="TB"),VLOOKUP(B93,TBPI[],COLUMNS(TBPI[[Strand]:[Weight]]),FALSE), IF(AND(career_stage="HP",teacher_type="TB"),VLOOKUP(B93,TBHPI[],COLUMNS(TBHPI[[Strand]:[Weight]]),FALSE),0)))),0)</f>
        <v>7.0000000000000007E-2</v>
      </c>
      <c r="U93" s="94" t="s">
        <v>1185</v>
      </c>
      <c r="V93" s="391" t="str">
        <f ca="1">IFERROR(IF($M93,IF(AND(career_stage="P",teacher_type="R"),INDEX(INDIRECT("RPS["&amp;V$10&amp;"]"),MATCH($H93,RPS[helper],0),1), IF(AND(career_stage="HP",teacher_type="R"), INDEX(INDIRECT("RHPS["&amp;V$10&amp;"]"),MATCH($H93,RHPS[helper],0),1), IF(AND(career_stage="P",teacher_type="TB"),INDEX(INDIRECT("TBPS["&amp;V$10&amp;"]"),MATCH($H93,TBPS[helper],0),1), IF(AND(career_stage="HP",teacher_type="TB"),INDEX(INDIRECT("TBHPS["&amp;V$10&amp;"]"),MATCH($H93,TBHPS[helper],0),1),"")))),""),"")</f>
        <v xml:space="preserve">Implemented a teaching and learning strategy / program using materials based on learners’ assessment data as evidenced by a list of identified least / most mastered skills with supporting MOV No. 1 </v>
      </c>
      <c r="W93" s="391" t="str">
        <f ca="1">IFERROR(IF($M93,IF(AND(career_stage="P",teacher_type="R"),INDEX(INDIRECT("RPS["&amp;W$10&amp;"]"),MATCH($H93,RPS[helper],0),1), IF(AND(career_stage="HP",teacher_type="R"), INDEX(INDIRECT("RHPS["&amp;W$10&amp;"]"),MATCH($H93,RHPS[helper],0),1), IF(AND(career_stage="P",teacher_type="TB"),INDEX(INDIRECT("TBPS["&amp;W$10&amp;"]"),MATCH($H93,TBPS[helper],0),1), IF(AND(career_stage="HP",teacher_type="TB"),INDEX(INDIRECT("TBHPS["&amp;W$10&amp;"]"),MATCH($H93,TBHPS[helper],0),1),"")))),""),"")</f>
        <v xml:space="preserve">Developed materials based on learners’ assessment data as evidenced by a list of identified least / most mastered skills with supporting MOV No. 2 </v>
      </c>
      <c r="X93" s="391" t="str">
        <f ca="1">IFERROR(IF($M93,IF(AND(career_stage="P",teacher_type="R"),INDEX(INDIRECT("RPS["&amp;X$10&amp;"]"),MATCH($H93,RPS[helper],0),1), IF(AND(career_stage="HP",teacher_type="R"), INDEX(INDIRECT("RHPS["&amp;X$10&amp;"]"),MATCH($H93,RHPS[helper],0),1), IF(AND(career_stage="P",teacher_type="TB"),INDEX(INDIRECT("TBPS["&amp;X$10&amp;"]"),MATCH($H93,TBPS[helper],0),1), IF(AND(career_stage="HP",teacher_type="TB"),INDEX(INDIRECT("TBHPS["&amp;X$10&amp;"]"),MATCH($H93,TBHPS[helper],0),1),"")))),""),"")</f>
        <v xml:space="preserve">Planned for a teaching and learning strategy and/or program based on learners’ assessment data as evidenced by a list of identified least / most mastered skills with supporting MOV No. 3 </v>
      </c>
      <c r="Y93" s="391" t="str">
        <f ca="1">IFERROR(IF($M93,IF(AND(career_stage="P",teacher_type="R"),INDEX(INDIRECT("RPS["&amp;Y$10&amp;"]"),MATCH($H93,RPS[helper],0),1), IF(AND(career_stage="HP",teacher_type="R"), INDEX(INDIRECT("RHPS["&amp;Y$10&amp;"]"),MATCH($H93,RHPS[helper],0),1), IF(AND(career_stage="P",teacher_type="TB"),INDEX(INDIRECT("TBPS["&amp;Y$10&amp;"]"),MATCH($H93,TBPS[helper],0),1), IF(AND(career_stage="HP",teacher_type="TB"),INDEX(INDIRECT("TBHPS["&amp;Y$10&amp;"]"),MATCH($H93,TBHPS[helper],0),1),"")))),""),"")</f>
        <v>Analyzed learners’ mastered skills based on the frequency of errors and correct responses as evidenced by a list of identified least / most mastered skills</v>
      </c>
      <c r="Z93" s="391" t="str">
        <f ca="1">IFERROR(IF($M93,IF(AND(career_stage="P",teacher_type="R"),INDEX(INDIRECT("RPS["&amp;Z$10&amp;"]"),MATCH($H93,RPS[helper],0),1), IF(AND(career_stage="HP",teacher_type="R"), INDEX(INDIRECT("RHPS["&amp;Z$10&amp;"]"),MATCH($H93,RHPS[helper],0),1), IF(AND(career_stage="P",teacher_type="TB"),INDEX(INDIRECT("TBPS["&amp;Z$10&amp;"]"),MATCH($H93,TBPS[helper],0),1), IF(AND(career_stage="HP",teacher_type="TB"),INDEX(INDIRECT("TBHPS["&amp;Z$10&amp;"]"),MATCH($H93,TBHPS[helper],0),1),"")))),""),"")</f>
        <v>No acceptable evidence was shown</v>
      </c>
      <c r="AA93" s="392" t="str" cm="1">
        <f t="array" aca="1" ref="AA93" ca="1">IFERROR(INDEX(V93:Z93,6-AB93),"")</f>
        <v xml:space="preserve">Developed materials based on learners’ assessment data as evidenced by a list of identified least / most mastered skills with supporting MOV No. 2 </v>
      </c>
      <c r="AB93" s="680">
        <f>IF('Encoding Part 1'!AB49="","",'Encoding Part 1'!AB49)</f>
        <v>4</v>
      </c>
      <c r="AC93" s="680" t="str">
        <f>IF('Encoding Part 1'!AC49="","",'Encoding Part 1'!AC49)</f>
        <v/>
      </c>
      <c r="AD93" s="680">
        <f>IF('Encoding Part 1'!AD49="","",'Encoding Part 1'!AD49)</f>
        <v>5</v>
      </c>
      <c r="AE93" s="682">
        <f t="shared" ref="AE93" si="54">IFERROR(ROUNDDOWN(AVERAGE($AB93:$AD93),3),0)</f>
        <v>4.5</v>
      </c>
      <c r="AF93" s="661">
        <f t="shared" ref="AF93" si="55">ROUNDDOWN($AE93*$T93,3)</f>
        <v>0.315</v>
      </c>
      <c r="AG93" s="5"/>
    </row>
    <row r="94" spans="1:33" hidden="1" x14ac:dyDescent="0.25">
      <c r="A94" s="92">
        <v>28</v>
      </c>
      <c r="B94" s="99" t="str" cm="1">
        <f t="array" ref="B94">IFERROR(IF(AND(teacher_type="R",career_stage="P"),INDEX(RPI[Strand],$A94),IF(AND(teacher_type="R",career_stage="HP"),INDEX(RHPI[Strand],$A94), IF(AND(teacher_type="TB",career_stage="P"),INDEX(TBPI[Strand],$A94), IF(AND(teacher_type="TB",career_stage="HP"),INDEX(TBHPI[Strand],$A94),0)))),0)</f>
        <v>5.5.2</v>
      </c>
      <c r="C94" s="99">
        <f>IFERROR(IF(AND(teacher_type="R",career_stage="P"),VLOOKUP($B94,RPI[[Strand]:[Domain]],COLUMNS(RPI[[Strand]:[Domain]]),FALSE), IF(AND(teacher_type="R",career_stage="HP"),VLOOKUP($B94,RHPI[[Strand]:[Domain]],COLUMNS(RHPI[[Strand]:[Domain]]),FALSE), IF(AND(teacher_type="TB",career_stage="P"),VLOOKUP($B94,TBPI[[Strand]:[Domain]],COLUMNS(TBPI[[Strand]:[Domain]]),FALSE), IF(AND(teacher_type="TB",career_stage="HP"),VLOOKUP($B94,TBHPI[[Strand]:[Domain]],COLUMNS(TBHPI[[Strand]:[Domain]]),FALSE),"")))),"")</f>
        <v>3</v>
      </c>
      <c r="D94" s="99" t="b">
        <f>IFERROR(IF(AND(career_stage="P",teacher_type="R"),VLOOKUP(B94,RPI[],COLUMNS(RPI[[Strand]:[Selected]]),FALSE), IF(AND(career_stage="HP",teacher_type="R"),VLOOKUP(B94,RHPI[],COLUMNS(RHPI[[Strand]:[Selected]]),FALSE), IF(AND(career_stage="P",teacher_type="TB"),VLOOKUP(B94,TBPI[],COLUMNS(TBPI[[Strand]:[Selected]]),FALSE), IF(AND(career_stage="HP",teacher_type="TB"),VLOOKUP(B94,TBHPI[],COLUMNS(TBHPI[[Strand]:[Selected]]),FALSE),FALSE)))),FALSE)</f>
        <v>1</v>
      </c>
      <c r="E94" s="92" t="b">
        <f>COUNTIFS($C$12:$C94,C94,$D$12:$D94,TRUE)=1</f>
        <v>0</v>
      </c>
      <c r="F94" s="92" t="b">
        <f>COUNTIFS($C$12:$C94,$C94,$B$12:$B94,$B94,$D$12:$D94,TRUE)=1</f>
        <v>0</v>
      </c>
      <c r="G94" s="99">
        <f>IF($F94,COUNTIFS($C$12:$C94,C94,$F$12:$F94,TRUE),0)</f>
        <v>0</v>
      </c>
      <c r="H94" s="99" t="str">
        <f t="shared" si="43"/>
        <v>5.5.2-E</v>
      </c>
      <c r="I94" s="99">
        <f>IF(AND(D94,NOT($A94=$A93)),(COUNTIF($D$11:$D93,TRUE)/3)+1,0)</f>
        <v>0</v>
      </c>
      <c r="J94" s="99" t="s">
        <v>1073</v>
      </c>
      <c r="K94" s="99" t="b">
        <f>IF(AND(teacher_type="R",career_stage="P"),IF(AND(COUNTIFS(RPS[Strand],$B94,RPS[QET],$J94)&gt;0,$D94),TRUE,FALSE), IF(AND(teacher_type="R",career_stage="HP"),IF(AND(COUNTIFS(RHPS[Strand],$B94,RHPS[QET],$J94)&gt;0,$D94),TRUE,FALSE), IF(AND(teacher_type="TB",career_stage="P"),IF(AND(COUNTIFS(TBPS[Strand],$B94,TBPS[QET],$J94)&gt;0,$D94),TRUE,FALSE), IF(AND(teacher_type="TB",career_stage="HP"),IF(AND(COUNTIFS(TBHPS[Strand],$B94,TBHPS[QET],$J94)&gt;0,$D94),TRUE,FALSE),FALSE))))</f>
        <v>0</v>
      </c>
      <c r="L94" s="99" t="str">
        <f>IF($K94,IF(AND(teacher_type="R",career_stage="P"),VLOOKUP($B94,RPI[],COLUMNS(RPI[[Strand]:[user_selected_coi_ncoi]]),FALSE), IF(AND(teacher_type="R",career_stage="HP"),VLOOKUP($B94,RHPI[],COLUMNS(RHPI[[Strand]:[user_selected_coi_ncoi]]),FALSE), IF(AND(teacher_type="TB",career_stage="P"),VLOOKUP($B94,TBPI[],COLUMNS(TBPI[[Strand]:[user_selected_coi_ncoi]]),FALSE), IF(AND(teacher_type="TB",career_stage="HP"),VLOOKUP($B94,TBHPI[],COLUMNS(TBHPI[[Strand]:[user_selected_coi_ncoi]]),FALSE),"")))),"")</f>
        <v/>
      </c>
      <c r="M94" s="99" t="b">
        <f>IF(AND(teacher_type="R",career_stage="P"),IF(AND(COUNTIFS(RPS[Strand],$B94,RPS[QET],M$11)&gt;0,$D94),TRUE,FALSE),IF(AND(teacher_type="R",career_stage="HP"),IF(AND(COUNTIFS(RHPS[Strand],$B94,RHPS[QET],M$11)&gt;0,$D94),TRUE,FALSE), IF(AND(teacher_type="TB",career_stage="P"),IF(AND(COUNTIFS(TBPS[Strand],$B94,TBPS[QET],M$11)&gt;0,$D94),TRUE,FALSE), IF(AND(teacher_type="TB",career_stage="HP"),IF(AND(COUNTIFS(TBHPS[Strand],$B94,TBHPS[QET],M$11)&gt;0,$D94),TRUE,FALSE),FALSE))))</f>
        <v>1</v>
      </c>
      <c r="N94" s="99" t="b">
        <f>IF(AND(teacher_type="R",career_stage="P"),IF(AND(COUNTIFS(RPS[Strand],$B94,RPS[QET],N$11)&gt;0,$D94),TRUE,FALSE),IF(AND(teacher_type="R",career_stage="HP"),IF(AND(COUNTIFS(RHPS[Strand],$B94,RHPS[QET],N$11)&gt;0,$D94),TRUE,FALSE), IF(AND(teacher_type="TB",career_stage="P"),IF(AND(COUNTIFS(TBPS[Strand],$B94,TBPS[QET],N$11)&gt;0,$D94),TRUE,FALSE), IF(AND(teacher_type="TB",career_stage="HP"),IF(AND(COUNTIFS(TBHPS[Strand],$B94,TBHPS[QET],N$11)&gt;0,$D94),TRUE,FALSE),FALSE))))</f>
        <v>0</v>
      </c>
      <c r="O94" s="99" t="b">
        <f>IF(AND(teacher_type="R",career_stage="P"),IF(AND(COUNTIFS(RPS[Strand],$B94,RPS[QET],O$11)&gt;0,$D94),TRUE,FALSE),IF(AND(teacher_type="R",career_stage="HP"),IF(AND(COUNTIFS(RHPS[Strand],$B94,RHPS[QET],O$11)&gt;0,$D94),TRUE,FALSE), IF(AND(teacher_type="TB",career_stage="P"),IF(AND(COUNTIFS(TBPS[Strand],$B94,TBPS[QET],O$11)&gt;0,$D94),TRUE,FALSE), IF(AND(teacher_type="TB",career_stage="HP"),IF(AND(COUNTIFS(TBHPS[Strand],$B94,TBHPS[QET],O$11)&gt;0,$D94),TRUE,FALSE),FALSE))))</f>
        <v>1</v>
      </c>
      <c r="P94" s="710"/>
      <c r="Q94" s="662"/>
      <c r="R94" s="663"/>
      <c r="S94" s="664"/>
      <c r="T94" s="678"/>
      <c r="U94" s="94" t="s">
        <v>1186</v>
      </c>
      <c r="V94" s="391" t="str">
        <f ca="1">IFERROR(IF($N94,IF(AND(career_stage="P",teacher_type="R"),INDEX(INDIRECT("RPS["&amp;V$10&amp;"]"),MATCH($H94,RPS[helper],0),1), IF(AND(career_stage="HP",teacher_type="R"), INDEX(INDIRECT("RHPS["&amp;V$10&amp;"]"),MATCH($H94,RHPS[helper],0),1), IF(AND(career_stage="P",teacher_type="TB"),INDEX(INDIRECT("TBPS["&amp;V$10&amp;"]"),MATCH($H94,TBPS[helper],0),1), IF(AND(career_stage="HP",teacher_type="TB"),INDEX(INDIRECT("TBHPS["&amp;V$10&amp;"]"),MATCH($H94,TBHPS[helper],0),1),"")))),""),"")</f>
        <v/>
      </c>
      <c r="W94" s="391" t="str">
        <f ca="1">IFERROR(IF($N94,IF(AND(career_stage="P",teacher_type="R"),INDEX(INDIRECT("RPS["&amp;W$10&amp;"]"),MATCH($H94,RPS[helper],0),1), IF(AND(career_stage="HP",teacher_type="R"), INDEX(INDIRECT("RHPS["&amp;W$10&amp;"]"),MATCH($H94,RHPS[helper],0),1), IF(AND(career_stage="P",teacher_type="TB"),INDEX(INDIRECT("TBPS["&amp;W$10&amp;"]"),MATCH($H94,TBPS[helper],0),1), IF(AND(career_stage="HP",teacher_type="TB"),INDEX(INDIRECT("TBHPS["&amp;W$10&amp;"]"),MATCH($H94,TBHPS[helper],0),1),"")))),""),"")</f>
        <v/>
      </c>
      <c r="X94" s="391" t="str">
        <f ca="1">IFERROR(IF($N94,IF(AND(career_stage="P",teacher_type="R"),INDEX(INDIRECT("RPS["&amp;X$10&amp;"]"),MATCH($H94,RPS[helper],0),1), IF(AND(career_stage="HP",teacher_type="R"), INDEX(INDIRECT("RHPS["&amp;X$10&amp;"]"),MATCH($H94,RHPS[helper],0),1), IF(AND(career_stage="P",teacher_type="TB"),INDEX(INDIRECT("TBPS["&amp;X$10&amp;"]"),MATCH($H94,TBPS[helper],0),1), IF(AND(career_stage="HP",teacher_type="TB"),INDEX(INDIRECT("TBHPS["&amp;X$10&amp;"]"),MATCH($H94,TBHPS[helper],0),1),"")))),""),"")</f>
        <v/>
      </c>
      <c r="Y94" s="391" t="str">
        <f ca="1">IFERROR(IF($N94,IF(AND(career_stage="P",teacher_type="R"),INDEX(INDIRECT("RPS["&amp;Y$10&amp;"]"),MATCH($H94,RPS[helper],0),1), IF(AND(career_stage="HP",teacher_type="R"), INDEX(INDIRECT("RHPS["&amp;Y$10&amp;"]"),MATCH($H94,RHPS[helper],0),1), IF(AND(career_stage="P",teacher_type="TB"),INDEX(INDIRECT("TBPS["&amp;Y$10&amp;"]"),MATCH($H94,TBPS[helper],0),1), IF(AND(career_stage="HP",teacher_type="TB"),INDEX(INDIRECT("TBHPS["&amp;Y$10&amp;"]"),MATCH($H94,TBHPS[helper],0),1),"")))),""),"")</f>
        <v/>
      </c>
      <c r="Z94" s="391" t="str">
        <f ca="1">IFERROR(IF($N94,IF(AND(career_stage="P",teacher_type="R"),INDEX(INDIRECT("RPS["&amp;Z$10&amp;"]"),MATCH($H94,RPS[helper],0),1), IF(AND(career_stage="HP",teacher_type="R"), INDEX(INDIRECT("RHPS["&amp;Z$10&amp;"]"),MATCH($H94,RHPS[helper],0),1), IF(AND(career_stage="P",teacher_type="TB"),INDEX(INDIRECT("TBPS["&amp;Z$10&amp;"]"),MATCH($H94,TBPS[helper],0),1), IF(AND(career_stage="HP",teacher_type="TB"),INDEX(INDIRECT("TBHPS["&amp;Z$10&amp;"]"),MATCH($H94,TBHPS[helper],0),1),"")))),""),"")</f>
        <v/>
      </c>
      <c r="AA94" s="392" t="str" cm="1">
        <f t="array" ref="AA94">IFERROR(INDEX(V94:Z94,6-AC93),"")</f>
        <v/>
      </c>
      <c r="AB94" s="680"/>
      <c r="AC94" s="680"/>
      <c r="AD94" s="680"/>
      <c r="AE94" s="682"/>
      <c r="AF94" s="661"/>
      <c r="AG94" s="5"/>
    </row>
    <row r="95" spans="1:33" ht="51" x14ac:dyDescent="0.25">
      <c r="A95" s="92">
        <v>28</v>
      </c>
      <c r="B95" s="99" t="str" cm="1">
        <f t="array" ref="B95">IFERROR(IF(AND(teacher_type="R",career_stage="P"),INDEX(RPI[Strand],$A95),IF(AND(teacher_type="R",career_stage="HP"),INDEX(RHPI[Strand],$A95), IF(AND(teacher_type="TB",career_stage="P"),INDEX(TBPI[Strand],$A95), IF(AND(teacher_type="TB",career_stage="HP"),INDEX(TBHPI[Strand],$A95),0)))),0)</f>
        <v>5.5.2</v>
      </c>
      <c r="C95" s="99">
        <f>IFERROR(IF(AND(teacher_type="R",career_stage="P"),VLOOKUP($B95,RPI[[Strand]:[Domain]],COLUMNS(RPI[[Strand]:[Domain]]),FALSE), IF(AND(teacher_type="R",career_stage="HP"),VLOOKUP($B95,RHPI[[Strand]:[Domain]],COLUMNS(RHPI[[Strand]:[Domain]]),FALSE), IF(AND(teacher_type="TB",career_stage="P"),VLOOKUP($B95,TBPI[[Strand]:[Domain]],COLUMNS(TBPI[[Strand]:[Domain]]),FALSE), IF(AND(teacher_type="TB",career_stage="HP"),VLOOKUP($B95,TBHPI[[Strand]:[Domain]],COLUMNS(TBHPI[[Strand]:[Domain]]),FALSE),"")))),"")</f>
        <v>3</v>
      </c>
      <c r="D95" s="99" t="b">
        <f>IFERROR(IF(AND(career_stage="P",teacher_type="R"),VLOOKUP(B95,RPI[],COLUMNS(RPI[[Strand]:[Selected]]),FALSE), IF(AND(career_stage="HP",teacher_type="R"),VLOOKUP(B95,RHPI[],COLUMNS(RHPI[[Strand]:[Selected]]),FALSE), IF(AND(career_stage="P",teacher_type="TB"),VLOOKUP(B95,TBPI[],COLUMNS(TBPI[[Strand]:[Selected]]),FALSE), IF(AND(career_stage="HP",teacher_type="TB"),VLOOKUP(B95,TBHPI[],COLUMNS(TBHPI[[Strand]:[Selected]]),FALSE),FALSE)))),FALSE)</f>
        <v>1</v>
      </c>
      <c r="E95" s="92" t="b">
        <f>COUNTIFS($C$12:$C95,C95,$D$12:$D95,TRUE)=1</f>
        <v>0</v>
      </c>
      <c r="F95" s="92" t="b">
        <f>COUNTIFS($C$12:$C95,$C95,$B$12:$B95,$B95,$D$12:$D95,TRUE)=1</f>
        <v>0</v>
      </c>
      <c r="G95" s="99">
        <f>IF($F95,COUNTIFS($C$12:$C95,C95,$F$12:$F95,TRUE),0)</f>
        <v>0</v>
      </c>
      <c r="H95" s="99" t="str">
        <f t="shared" si="43"/>
        <v>5.5.2-T-NCOI</v>
      </c>
      <c r="I95" s="99">
        <f>IF(AND(D95,NOT($A95=$A94)),(COUNTIF($D$11:$D94,TRUE)/3)+1,0)</f>
        <v>0</v>
      </c>
      <c r="J95" s="99" t="s">
        <v>1014</v>
      </c>
      <c r="K95" s="99" t="b">
        <f>IF(AND(teacher_type="R",career_stage="P"),IF(AND(COUNTIFS(RPS[Strand],$B95,RPS[QET],$J95)&gt;0,$D95),TRUE,FALSE), IF(AND(teacher_type="R",career_stage="HP"),IF(AND(COUNTIFS(RHPS[Strand],$B95,RHPS[QET],$J95)&gt;0,$D95),TRUE,FALSE), IF(AND(teacher_type="TB",career_stage="P"),IF(AND(COUNTIFS(TBPS[Strand],$B95,TBPS[QET],$J95)&gt;0,$D95),TRUE,FALSE), IF(AND(teacher_type="TB",career_stage="HP"),IF(AND(COUNTIFS(TBHPS[Strand],$B95,TBHPS[QET],$J95)&gt;0,$D95),TRUE,FALSE),FALSE))))</f>
        <v>1</v>
      </c>
      <c r="L95" s="99" t="str">
        <f>IF($K95,IF(AND(teacher_type="R",career_stage="P"),VLOOKUP($B95,RPI[],COLUMNS(RPI[[Strand]:[user_selected_coi_ncoi]]),FALSE), IF(AND(teacher_type="R",career_stage="HP"),VLOOKUP($B95,RHPI[],COLUMNS(RHPI[[Strand]:[user_selected_coi_ncoi]]),FALSE), IF(AND(teacher_type="TB",career_stage="P"),VLOOKUP($B95,TBPI[],COLUMNS(TBPI[[Strand]:[user_selected_coi_ncoi]]),FALSE), IF(AND(teacher_type="TB",career_stage="HP"),VLOOKUP($B95,TBHPI[],COLUMNS(TBHPI[[Strand]:[user_selected_coi_ncoi]]),FALSE),"")))),"")</f>
        <v>NCOI</v>
      </c>
      <c r="M95" s="99" t="b">
        <f>IF(AND(teacher_type="R",career_stage="P"),IF(AND(COUNTIFS(RPS[Strand],$B95,RPS[QET],M$11)&gt;0,$D95),TRUE,FALSE),IF(AND(teacher_type="R",career_stage="HP"),IF(AND(COUNTIFS(RHPS[Strand],$B95,RHPS[QET],M$11)&gt;0,$D95),TRUE,FALSE), IF(AND(teacher_type="TB",career_stage="P"),IF(AND(COUNTIFS(TBPS[Strand],$B95,TBPS[QET],M$11)&gt;0,$D95),TRUE,FALSE), IF(AND(teacher_type="TB",career_stage="HP"),IF(AND(COUNTIFS(TBHPS[Strand],$B95,TBHPS[QET],M$11)&gt;0,$D95),TRUE,FALSE),FALSE))))</f>
        <v>1</v>
      </c>
      <c r="N95" s="99" t="b">
        <f>IF(AND(teacher_type="R",career_stage="P"),IF(AND(COUNTIFS(RPS[Strand],$B95,RPS[QET],N$11)&gt;0,$D95),TRUE,FALSE),IF(AND(teacher_type="R",career_stage="HP"),IF(AND(COUNTIFS(RHPS[Strand],$B95,RHPS[QET],N$11)&gt;0,$D95),TRUE,FALSE), IF(AND(teacher_type="TB",career_stage="P"),IF(AND(COUNTIFS(TBPS[Strand],$B95,TBPS[QET],N$11)&gt;0,$D95),TRUE,FALSE), IF(AND(teacher_type="TB",career_stage="HP"),IF(AND(COUNTIFS(TBHPS[Strand],$B95,TBHPS[QET],N$11)&gt;0,$D95),TRUE,FALSE),FALSE))))</f>
        <v>0</v>
      </c>
      <c r="O95" s="99" t="b">
        <f>IF(AND(teacher_type="R",career_stage="P"),IF(AND(COUNTIFS(RPS[Strand],$B95,RPS[QET],O$11)&gt;0,$D95),TRUE,FALSE),IF(AND(teacher_type="R",career_stage="HP"),IF(AND(COUNTIFS(RHPS[Strand],$B95,RHPS[QET],O$11)&gt;0,$D95),TRUE,FALSE), IF(AND(teacher_type="TB",career_stage="P"),IF(AND(COUNTIFS(TBPS[Strand],$B95,TBPS[QET],O$11)&gt;0,$D95),TRUE,FALSE), IF(AND(teacher_type="TB",career_stage="HP"),IF(AND(COUNTIFS(TBHPS[Strand],$B95,TBHPS[QET],O$11)&gt;0,$D95),TRUE,FALSE),FALSE))))</f>
        <v>1</v>
      </c>
      <c r="P95" s="710"/>
      <c r="Q95" s="662"/>
      <c r="R95" s="663"/>
      <c r="S95" s="664"/>
      <c r="T95" s="678"/>
      <c r="U95" s="94" t="s">
        <v>1187</v>
      </c>
      <c r="V95" s="391" t="str">
        <f ca="1">IFERROR(IF($O95,IF(AND(career_stage="P",teacher_type="R"),INDEX(INDIRECT("RPS["&amp;V$10&amp;"]"),MATCH($H95,RPS[helper],0),1), IF(AND(career_stage="HP",teacher_type="R"), INDEX(INDIRECT("RHPS["&amp;V$10&amp;"]"),MATCH($H95,RHPS[helper],0),1), IF(AND(career_stage="P",teacher_type="TB"),INDEX(INDIRECT("TBPS["&amp;V$10&amp;"]"),MATCH($H95,TBPS[helper],0),1), IF(AND(career_stage="HP",teacher_type="TB"),INDEX(INDIRECT("TBHPS["&amp;V$10&amp;"]"),MATCH($H95,TBHPS[helper],0),1),"")))),""),"")</f>
        <v>Submitted MOV/s showed utilization of assessment data across 4 quarters</v>
      </c>
      <c r="W95" s="391" t="str">
        <f ca="1">IFERROR(IF($O95,IF(AND(career_stage="P",teacher_type="R"),INDEX(INDIRECT("RPS["&amp;W$10&amp;"]"),MATCH($H95,RPS[helper],0),1), IF(AND(career_stage="HP",teacher_type="R"), INDEX(INDIRECT("RHPS["&amp;W$10&amp;"]"),MATCH($H95,RHPS[helper],0),1), IF(AND(career_stage="P",teacher_type="TB"),INDEX(INDIRECT("TBPS["&amp;W$10&amp;"]"),MATCH($H95,TBPS[helper],0),1), IF(AND(career_stage="HP",teacher_type="TB"),INDEX(INDIRECT("TBHPS["&amp;W$10&amp;"]"),MATCH($H95,TBHPS[helper],0),1),"")))),""),"")</f>
        <v>Submitted MOV/s showed utilization of assessment data across 3 quarters</v>
      </c>
      <c r="X95" s="391" t="str">
        <f ca="1">IFERROR(IF($O95,IF(AND(career_stage="P",teacher_type="R"),INDEX(INDIRECT("RPS["&amp;X$10&amp;"]"),MATCH($H95,RPS[helper],0),1), IF(AND(career_stage="HP",teacher_type="R"), INDEX(INDIRECT("RHPS["&amp;X$10&amp;"]"),MATCH($H95,RHPS[helper],0),1), IF(AND(career_stage="P",teacher_type="TB"),INDEX(INDIRECT("TBPS["&amp;X$10&amp;"]"),MATCH($H95,TBPS[helper],0),1), IF(AND(career_stage="HP",teacher_type="TB"),INDEX(INDIRECT("TBHPS["&amp;X$10&amp;"]"),MATCH($H95,TBHPS[helper],0),1),"")))),""),"")</f>
        <v>Submitted MOV/s showed utilization of assessment data across 2 quarters</v>
      </c>
      <c r="Y95" s="391" t="str">
        <f ca="1">IFERROR(IF($O95,IF(AND(career_stage="P",teacher_type="R"),INDEX(INDIRECT("RPS["&amp;Y$10&amp;"]"),MATCH($H95,RPS[helper],0),1), IF(AND(career_stage="HP",teacher_type="R"), INDEX(INDIRECT("RHPS["&amp;Y$10&amp;"]"),MATCH($H95,RHPS[helper],0),1), IF(AND(career_stage="P",teacher_type="TB"),INDEX(INDIRECT("TBPS["&amp;Y$10&amp;"]"),MATCH($H95,TBPS[helper],0),1), IF(AND(career_stage="HP",teacher_type="TB"),INDEX(INDIRECT("TBHPS["&amp;Y$10&amp;"]"),MATCH($H95,TBHPS[helper],0),1),"")))),""),"")</f>
        <v>Submitted MOV/s showed utilization of assessment data in onle 1 quarter</v>
      </c>
      <c r="Z95" s="391" t="str">
        <f ca="1">IFERROR(IF($O95,IF(AND(career_stage="P",teacher_type="R"),INDEX(INDIRECT("RPS["&amp;Z$10&amp;"]"),MATCH($H95,RPS[helper],0),1), IF(AND(career_stage="HP",teacher_type="R"), INDEX(INDIRECT("RHPS["&amp;Z$10&amp;"]"),MATCH($H95,RHPS[helper],0),1), IF(AND(career_stage="P",teacher_type="TB"),INDEX(INDIRECT("TBPS["&amp;Z$10&amp;"]"),MATCH($H95,TBPS[helper],0),1), IF(AND(career_stage="HP",teacher_type="TB"),INDEX(INDIRECT("TBHPS["&amp;Z$10&amp;"]"),MATCH($H95,TBHPS[helper],0),1),"")))),""),"")</f>
        <v>No acceptable evidence was shown</v>
      </c>
      <c r="AA95" s="391" t="str" cm="1">
        <f t="array" aca="1" ref="AA95" ca="1">IFERROR(INDEX(V95:Z95,6-AD93),"")</f>
        <v>Submitted MOV/s showed utilization of assessment data across 4 quarters</v>
      </c>
      <c r="AB95" s="680"/>
      <c r="AC95" s="680"/>
      <c r="AD95" s="680"/>
      <c r="AE95" s="682"/>
      <c r="AF95" s="661"/>
      <c r="AG95" s="5"/>
    </row>
    <row r="96" spans="1:33" hidden="1" x14ac:dyDescent="0.25">
      <c r="A96" s="92">
        <v>29</v>
      </c>
      <c r="B96" s="99" t="str" cm="1">
        <f t="array" ref="B96">IFERROR(IF(AND(teacher_type="R",career_stage="P"),INDEX(RPI[Strand],$A96),IF(AND(teacher_type="R",career_stage="HP"),INDEX(RHPI[Strand],$A96), IF(AND(teacher_type="TB",career_stage="P"),INDEX(TBPI[Strand],$A96), IF(AND(teacher_type="TB",career_stage="HP"),INDEX(TBHPI[Strand],$A96),0)))),0)</f>
        <v>6.1.2</v>
      </c>
      <c r="C96" s="99">
        <f>IFERROR(IF(AND(teacher_type="R",career_stage="P"),VLOOKUP($B96,RPI[[Strand]:[Domain]],COLUMNS(RPI[[Strand]:[Domain]]),FALSE), IF(AND(teacher_type="R",career_stage="HP"),VLOOKUP($B96,RHPI[[Strand]:[Domain]],COLUMNS(RHPI[[Strand]:[Domain]]),FALSE), IF(AND(teacher_type="TB",career_stage="P"),VLOOKUP($B96,TBPI[[Strand]:[Domain]],COLUMNS(TBPI[[Strand]:[Domain]]),FALSE), IF(AND(teacher_type="TB",career_stage="HP"),VLOOKUP($B96,TBHPI[[Strand]:[Domain]],COLUMNS(TBHPI[[Strand]:[Domain]]),FALSE),"")))),"")</f>
        <v>6</v>
      </c>
      <c r="D96" s="99" t="b">
        <f>IFERROR(IF(AND(career_stage="P",teacher_type="R"),VLOOKUP(B96,RPI[],COLUMNS(RPI[[Strand]:[Selected]]),FALSE), IF(AND(career_stage="HP",teacher_type="R"),VLOOKUP(B96,RHPI[],COLUMNS(RHPI[[Strand]:[Selected]]),FALSE), IF(AND(career_stage="P",teacher_type="TB"),VLOOKUP(B96,TBPI[],COLUMNS(TBPI[[Strand]:[Selected]]),FALSE), IF(AND(career_stage="HP",teacher_type="TB"),VLOOKUP(B96,TBHPI[],COLUMNS(TBHPI[[Strand]:[Selected]]),FALSE),FALSE)))),FALSE)</f>
        <v>0</v>
      </c>
      <c r="E96" s="92" t="b">
        <f>COUNTIFS($C$12:$C96,C96,$D$12:$D96,TRUE)=1</f>
        <v>0</v>
      </c>
      <c r="F96" s="92" t="b">
        <f>COUNTIFS($C$12:$C96,$C96,$B$12:$B96,$B96,$D$12:$D96,TRUE)=1</f>
        <v>0</v>
      </c>
      <c r="G96" s="99">
        <f>IF($F96,COUNTIFS($C$12:$C96,C96,$F$12:$F96,TRUE),0)</f>
        <v>0</v>
      </c>
      <c r="H96" s="99" t="str">
        <f t="shared" si="43"/>
        <v>6.1.2-Q</v>
      </c>
      <c r="I96" s="99">
        <f>IF(AND(D96,NOT($A96=$A95)),(COUNTIF($D$11:$D95,TRUE)/3)+1,0)</f>
        <v>0</v>
      </c>
      <c r="J96" s="99" t="s">
        <v>1012</v>
      </c>
      <c r="K96" s="99" t="b">
        <f>IF(AND(teacher_type="R",career_stage="P"),IF(AND(COUNTIFS(RPS[Strand],$B96,RPS[QET],$J96)&gt;0,$D96),TRUE,FALSE), IF(AND(teacher_type="R",career_stage="HP"),IF(AND(COUNTIFS(RHPS[Strand],$B96,RHPS[QET],$J96)&gt;0,$D96),TRUE,FALSE), IF(AND(teacher_type="TB",career_stage="P"),IF(AND(COUNTIFS(TBPS[Strand],$B96,TBPS[QET],$J96)&gt;0,$D96),TRUE,FALSE), IF(AND(teacher_type="TB",career_stage="HP"),IF(AND(COUNTIFS(TBHPS[Strand],$B96,TBHPS[QET],$J96)&gt;0,$D96),TRUE,FALSE),FALSE))))</f>
        <v>0</v>
      </c>
      <c r="L96" s="99" t="str">
        <f>IF($K96,IF(AND(teacher_type="R",career_stage="P"),VLOOKUP($B96,RPI[],COLUMNS(RPI[[Strand]:[user_selected_coi_ncoi]]),FALSE), IF(AND(teacher_type="R",career_stage="HP"),VLOOKUP($B96,RHPI[],COLUMNS(RHPI[[Strand]:[user_selected_coi_ncoi]]),FALSE), IF(AND(teacher_type="TB",career_stage="P"),VLOOKUP($B96,TBPI[],COLUMNS(TBPI[[Strand]:[user_selected_coi_ncoi]]),FALSE), IF(AND(teacher_type="TB",career_stage="HP"),VLOOKUP($B96,TBHPI[],COLUMNS(TBHPI[[Strand]:[user_selected_coi_ncoi]]),FALSE),"")))),"")</f>
        <v/>
      </c>
      <c r="M96" s="99" t="b">
        <f>IF(AND(teacher_type="R",career_stage="P"),IF(AND(COUNTIFS(RPS[Strand],$B96,RPS[QET],M$11)&gt;0,$D96),TRUE,FALSE),IF(AND(teacher_type="R",career_stage="HP"),IF(AND(COUNTIFS(RHPS[Strand],$B96,RHPS[QET],M$11)&gt;0,$D96),TRUE,FALSE), IF(AND(teacher_type="TB",career_stage="P"),IF(AND(COUNTIFS(TBPS[Strand],$B96,TBPS[QET],M$11)&gt;0,$D96),TRUE,FALSE), IF(AND(teacher_type="TB",career_stage="HP"),IF(AND(COUNTIFS(TBHPS[Strand],$B96,TBHPS[QET],M$11)&gt;0,$D96),TRUE,FALSE),FALSE))))</f>
        <v>0</v>
      </c>
      <c r="N96" s="99" t="b">
        <f>IF(AND(teacher_type="R",career_stage="P"),IF(AND(COUNTIFS(RPS[Strand],$B96,RPS[QET],N$11)&gt;0,$D96),TRUE,FALSE),IF(AND(teacher_type="R",career_stage="HP"),IF(AND(COUNTIFS(RHPS[Strand],$B96,RHPS[QET],N$11)&gt;0,$D96),TRUE,FALSE), IF(AND(teacher_type="TB",career_stage="P"),IF(AND(COUNTIFS(TBPS[Strand],$B96,TBPS[QET],N$11)&gt;0,$D96),TRUE,FALSE), IF(AND(teacher_type="TB",career_stage="HP"),IF(AND(COUNTIFS(TBHPS[Strand],$B96,TBHPS[QET],N$11)&gt;0,$D96),TRUE,FALSE),FALSE))))</f>
        <v>0</v>
      </c>
      <c r="O96" s="99" t="b">
        <f>IF(AND(teacher_type="R",career_stage="P"),IF(AND(COUNTIFS(RPS[Strand],$B96,RPS[QET],O$11)&gt;0,$D96),TRUE,FALSE),IF(AND(teacher_type="R",career_stage="HP"),IF(AND(COUNTIFS(RHPS[Strand],$B96,RHPS[QET],O$11)&gt;0,$D96),TRUE,FALSE), IF(AND(teacher_type="TB",career_stage="P"),IF(AND(COUNTIFS(TBPS[Strand],$B96,TBPS[QET],O$11)&gt;0,$D96),TRUE,FALSE), IF(AND(teacher_type="TB",career_stage="HP"),IF(AND(COUNTIFS(TBHPS[Strand],$B96,TBHPS[QET],O$11)&gt;0,$D96),TRUE,FALSE),FALSE))))</f>
        <v>0</v>
      </c>
      <c r="P96" s="710"/>
      <c r="Q96" s="662" t="str">
        <f>IFERROR(IF(E96,IF(C96="Plus Factor","Plus Factor",C96 &amp; ". " &amp; INDEX(Domains[Domain],MATCH(C96,Domains[Domain_code],0),1)),""),"")</f>
        <v/>
      </c>
      <c r="R96" s="663" t="str">
        <f>IFERROR(IF($F96,$I96 &amp; ". " &amp; IF(AND(career_stage="P",teacher_type="R"), INDEX(RPI[PPST Indicators],MATCH($B96,RPI[Strand],0),1), IF(AND(career_stage="HP",teacher_type="R"),INDEX(RHPI[PPST Indicators],MATCH($B96,RHPI[Strand],0),1), IF(AND(career_stage="P",teacher_type="TB"),INDEX(TBPI[PPST Indicators],MATCH($B96,TBPI[Strand],0),1), IF(AND(career_stage="HP",teacher_type="TB"),INDEX(TBHPI[PPST Indicators],MATCH($B96,TBHPI[Strand],0),1),"")))) &amp; IF(NOT(TRIM(LOWER($C96))="plus factor")," (PPST "&amp;B96&amp;")",""),""),"")</f>
        <v/>
      </c>
      <c r="S96" s="664" t="str" cm="1">
        <f t="array" ref="S96">demographics[rating_period]</f>
        <v>SY 2023-2024</v>
      </c>
      <c r="T96" s="678">
        <f>IFERROR(IF(AND(career_stage="P",teacher_type="R"),VLOOKUP(B96,RPI[],COLUMNS(RPI[[Strand]:[Weight]]),FALSE), IF(AND(career_stage="HP",teacher_type="R"),VLOOKUP(B96,RHPI[],COLUMNS(RHPI[[Strand]:[Weight]]),FALSE), IF(AND(career_stage="P",teacher_type="TB"),VLOOKUP(B96,TBPI[],COLUMNS(TBPI[[Strand]:[Weight]]),FALSE), IF(AND(career_stage="HP",teacher_type="TB"),VLOOKUP(B96,TBHPI[],COLUMNS(TBHPI[[Strand]:[Weight]]),FALSE),0)))),0)</f>
        <v>0</v>
      </c>
      <c r="U96" s="94" t="s">
        <v>1185</v>
      </c>
      <c r="V96" s="391" t="str">
        <f ca="1">IFERROR(IF($M96,IF(AND(career_stage="P",teacher_type="R"),INDEX(INDIRECT("RPS["&amp;V$10&amp;"]"),MATCH($H96,RPS[helper],0),1), IF(AND(career_stage="HP",teacher_type="R"), INDEX(INDIRECT("RHPS["&amp;V$10&amp;"]"),MATCH($H96,RHPS[helper],0),1), IF(AND(career_stage="P",teacher_type="TB"),INDEX(INDIRECT("TBPS["&amp;V$10&amp;"]"),MATCH($H96,TBPS[helper],0),1), IF(AND(career_stage="HP",teacher_type="TB"),INDEX(INDIRECT("TBHPS["&amp;V$10&amp;"]"),MATCH($H96,TBHPS[helper],0),1),"")))),""),"")</f>
        <v/>
      </c>
      <c r="W96" s="391" t="str">
        <f ca="1">IFERROR(IF($M96,IF(AND(career_stage="P",teacher_type="R"),INDEX(INDIRECT("RPS["&amp;W$10&amp;"]"),MATCH($H96,RPS[helper],0),1), IF(AND(career_stage="HP",teacher_type="R"), INDEX(INDIRECT("RHPS["&amp;W$10&amp;"]"),MATCH($H96,RHPS[helper],0),1), IF(AND(career_stage="P",teacher_type="TB"),INDEX(INDIRECT("TBPS["&amp;W$10&amp;"]"),MATCH($H96,TBPS[helper],0),1), IF(AND(career_stage="HP",teacher_type="TB"),INDEX(INDIRECT("TBHPS["&amp;W$10&amp;"]"),MATCH($H96,TBHPS[helper],0),1),"")))),""),"")</f>
        <v/>
      </c>
      <c r="X96" s="391" t="str">
        <f ca="1">IFERROR(IF($M96,IF(AND(career_stage="P",teacher_type="R"),INDEX(INDIRECT("RPS["&amp;X$10&amp;"]"),MATCH($H96,RPS[helper],0),1), IF(AND(career_stage="HP",teacher_type="R"), INDEX(INDIRECT("RHPS["&amp;X$10&amp;"]"),MATCH($H96,RHPS[helper],0),1), IF(AND(career_stage="P",teacher_type="TB"),INDEX(INDIRECT("TBPS["&amp;X$10&amp;"]"),MATCH($H96,TBPS[helper],0),1), IF(AND(career_stage="HP",teacher_type="TB"),INDEX(INDIRECT("TBHPS["&amp;X$10&amp;"]"),MATCH($H96,TBHPS[helper],0),1),"")))),""),"")</f>
        <v/>
      </c>
      <c r="Y96" s="391" t="str">
        <f ca="1">IFERROR(IF($M96,IF(AND(career_stage="P",teacher_type="R"),INDEX(INDIRECT("RPS["&amp;Y$10&amp;"]"),MATCH($H96,RPS[helper],0),1), IF(AND(career_stage="HP",teacher_type="R"), INDEX(INDIRECT("RHPS["&amp;Y$10&amp;"]"),MATCH($H96,RHPS[helper],0),1), IF(AND(career_stage="P",teacher_type="TB"),INDEX(INDIRECT("TBPS["&amp;Y$10&amp;"]"),MATCH($H96,TBPS[helper],0),1), IF(AND(career_stage="HP",teacher_type="TB"),INDEX(INDIRECT("TBHPS["&amp;Y$10&amp;"]"),MATCH($H96,TBHPS[helper],0),1),"")))),""),"")</f>
        <v/>
      </c>
      <c r="Z96" s="391" t="str">
        <f ca="1">IFERROR(IF($M96,IF(AND(career_stage="P",teacher_type="R"),INDEX(INDIRECT("RPS["&amp;Z$10&amp;"]"),MATCH($H96,RPS[helper],0),1), IF(AND(career_stage="HP",teacher_type="R"), INDEX(INDIRECT("RHPS["&amp;Z$10&amp;"]"),MATCH($H96,RHPS[helper],0),1), IF(AND(career_stage="P",teacher_type="TB"),INDEX(INDIRECT("TBPS["&amp;Z$10&amp;"]"),MATCH($H96,TBPS[helper],0),1), IF(AND(career_stage="HP",teacher_type="TB"),INDEX(INDIRECT("TBHPS["&amp;Z$10&amp;"]"),MATCH($H96,TBHPS[helper],0),1),"")))),""),"")</f>
        <v/>
      </c>
      <c r="AA96" s="392" t="str" cm="1">
        <f t="array" ref="AA96">IFERROR(INDEX(V96:Z96,6-AB96),"")</f>
        <v/>
      </c>
      <c r="AB96" s="680" t="str">
        <f>IF('Encoding Part 1'!AB50="","",'Encoding Part 1'!AB50)</f>
        <v/>
      </c>
      <c r="AC96" s="680" t="str">
        <f>IF('Encoding Part 1'!AC50="","",'Encoding Part 1'!AC50)</f>
        <v/>
      </c>
      <c r="AD96" s="680" t="str">
        <f>IF('Encoding Part 1'!AD50="","",'Encoding Part 1'!AD50)</f>
        <v/>
      </c>
      <c r="AE96" s="682">
        <f t="shared" ref="AE96" si="56">IFERROR(ROUNDDOWN(AVERAGE($AB96:$AD96),3),0)</f>
        <v>0</v>
      </c>
      <c r="AF96" s="661">
        <f t="shared" ref="AF96" si="57">ROUNDDOWN($AE96*$T96,3)</f>
        <v>0</v>
      </c>
      <c r="AG96" s="5"/>
    </row>
    <row r="97" spans="1:33" hidden="1" x14ac:dyDescent="0.25">
      <c r="A97" s="92">
        <v>29</v>
      </c>
      <c r="B97" s="99" t="str" cm="1">
        <f t="array" ref="B97">IFERROR(IF(AND(teacher_type="R",career_stage="P"),INDEX(RPI[Strand],$A97),IF(AND(teacher_type="R",career_stage="HP"),INDEX(RHPI[Strand],$A97), IF(AND(teacher_type="TB",career_stage="P"),INDEX(TBPI[Strand],$A97), IF(AND(teacher_type="TB",career_stage="HP"),INDEX(TBHPI[Strand],$A97),0)))),0)</f>
        <v>6.1.2</v>
      </c>
      <c r="C97" s="99">
        <f>IFERROR(IF(AND(teacher_type="R",career_stage="P"),VLOOKUP($B97,RPI[[Strand]:[Domain]],COLUMNS(RPI[[Strand]:[Domain]]),FALSE), IF(AND(teacher_type="R",career_stage="HP"),VLOOKUP($B97,RHPI[[Strand]:[Domain]],COLUMNS(RHPI[[Strand]:[Domain]]),FALSE), IF(AND(teacher_type="TB",career_stage="P"),VLOOKUP($B97,TBPI[[Strand]:[Domain]],COLUMNS(TBPI[[Strand]:[Domain]]),FALSE), IF(AND(teacher_type="TB",career_stage="HP"),VLOOKUP($B97,TBHPI[[Strand]:[Domain]],COLUMNS(TBHPI[[Strand]:[Domain]]),FALSE),"")))),"")</f>
        <v>6</v>
      </c>
      <c r="D97" s="99" t="b">
        <f>IFERROR(IF(AND(career_stage="P",teacher_type="R"),VLOOKUP(B97,RPI[],COLUMNS(RPI[[Strand]:[Selected]]),FALSE), IF(AND(career_stage="HP",teacher_type="R"),VLOOKUP(B97,RHPI[],COLUMNS(RHPI[[Strand]:[Selected]]),FALSE), IF(AND(career_stage="P",teacher_type="TB"),VLOOKUP(B97,TBPI[],COLUMNS(TBPI[[Strand]:[Selected]]),FALSE), IF(AND(career_stage="HP",teacher_type="TB"),VLOOKUP(B97,TBHPI[],COLUMNS(TBHPI[[Strand]:[Selected]]),FALSE),FALSE)))),FALSE)</f>
        <v>0</v>
      </c>
      <c r="E97" s="92" t="b">
        <f>COUNTIFS($C$12:$C97,C97,$D$12:$D97,TRUE)=1</f>
        <v>0</v>
      </c>
      <c r="F97" s="92" t="b">
        <f>COUNTIFS($C$12:$C97,$C97,$B$12:$B97,$B97,$D$12:$D97,TRUE)=1</f>
        <v>0</v>
      </c>
      <c r="G97" s="99">
        <f>IF($F97,COUNTIFS($C$12:$C97,C97,$F$12:$F97,TRUE),0)</f>
        <v>0</v>
      </c>
      <c r="H97" s="99" t="str">
        <f t="shared" si="43"/>
        <v>6.1.2-E</v>
      </c>
      <c r="I97" s="99">
        <f>IF(AND(D97,NOT($A97=$A96)),(COUNTIF($D$11:$D96,TRUE)/3)+1,0)</f>
        <v>0</v>
      </c>
      <c r="J97" s="99" t="s">
        <v>1073</v>
      </c>
      <c r="K97" s="99" t="b">
        <f>IF(AND(teacher_type="R",career_stage="P"),IF(AND(COUNTIFS(RPS[Strand],$B97,RPS[QET],$J97)&gt;0,$D97),TRUE,FALSE), IF(AND(teacher_type="R",career_stage="HP"),IF(AND(COUNTIFS(RHPS[Strand],$B97,RHPS[QET],$J97)&gt;0,$D97),TRUE,FALSE), IF(AND(teacher_type="TB",career_stage="P"),IF(AND(COUNTIFS(TBPS[Strand],$B97,TBPS[QET],$J97)&gt;0,$D97),TRUE,FALSE), IF(AND(teacher_type="TB",career_stage="HP"),IF(AND(COUNTIFS(TBHPS[Strand],$B97,TBHPS[QET],$J97)&gt;0,$D97),TRUE,FALSE),FALSE))))</f>
        <v>0</v>
      </c>
      <c r="L97" s="99" t="str">
        <f>IF($K97,IF(AND(teacher_type="R",career_stage="P"),VLOOKUP($B97,RPI[],COLUMNS(RPI[[Strand]:[user_selected_coi_ncoi]]),FALSE), IF(AND(teacher_type="R",career_stage="HP"),VLOOKUP($B97,RHPI[],COLUMNS(RHPI[[Strand]:[user_selected_coi_ncoi]]),FALSE), IF(AND(teacher_type="TB",career_stage="P"),VLOOKUP($B97,TBPI[],COLUMNS(TBPI[[Strand]:[user_selected_coi_ncoi]]),FALSE), IF(AND(teacher_type="TB",career_stage="HP"),VLOOKUP($B97,TBHPI[],COLUMNS(TBHPI[[Strand]:[user_selected_coi_ncoi]]),FALSE),"")))),"")</f>
        <v/>
      </c>
      <c r="M97" s="99" t="b">
        <f>IF(AND(teacher_type="R",career_stage="P"),IF(AND(COUNTIFS(RPS[Strand],$B97,RPS[QET],M$11)&gt;0,$D97),TRUE,FALSE),IF(AND(teacher_type="R",career_stage="HP"),IF(AND(COUNTIFS(RHPS[Strand],$B97,RHPS[QET],M$11)&gt;0,$D97),TRUE,FALSE), IF(AND(teacher_type="TB",career_stage="P"),IF(AND(COUNTIFS(TBPS[Strand],$B97,TBPS[QET],M$11)&gt;0,$D97),TRUE,FALSE), IF(AND(teacher_type="TB",career_stage="HP"),IF(AND(COUNTIFS(TBHPS[Strand],$B97,TBHPS[QET],M$11)&gt;0,$D97),TRUE,FALSE),FALSE))))</f>
        <v>0</v>
      </c>
      <c r="N97" s="99" t="b">
        <f>IF(AND(teacher_type="R",career_stage="P"),IF(AND(COUNTIFS(RPS[Strand],$B97,RPS[QET],N$11)&gt;0,$D97),TRUE,FALSE),IF(AND(teacher_type="R",career_stage="HP"),IF(AND(COUNTIFS(RHPS[Strand],$B97,RHPS[QET],N$11)&gt;0,$D97),TRUE,FALSE), IF(AND(teacher_type="TB",career_stage="P"),IF(AND(COUNTIFS(TBPS[Strand],$B97,TBPS[QET],N$11)&gt;0,$D97),TRUE,FALSE), IF(AND(teacher_type="TB",career_stage="HP"),IF(AND(COUNTIFS(TBHPS[Strand],$B97,TBHPS[QET],N$11)&gt;0,$D97),TRUE,FALSE),FALSE))))</f>
        <v>0</v>
      </c>
      <c r="O97" s="99" t="b">
        <f>IF(AND(teacher_type="R",career_stage="P"),IF(AND(COUNTIFS(RPS[Strand],$B97,RPS[QET],O$11)&gt;0,$D97),TRUE,FALSE),IF(AND(teacher_type="R",career_stage="HP"),IF(AND(COUNTIFS(RHPS[Strand],$B97,RHPS[QET],O$11)&gt;0,$D97),TRUE,FALSE), IF(AND(teacher_type="TB",career_stage="P"),IF(AND(COUNTIFS(TBPS[Strand],$B97,TBPS[QET],O$11)&gt;0,$D97),TRUE,FALSE), IF(AND(teacher_type="TB",career_stage="HP"),IF(AND(COUNTIFS(TBHPS[Strand],$B97,TBHPS[QET],O$11)&gt;0,$D97),TRUE,FALSE),FALSE))))</f>
        <v>0</v>
      </c>
      <c r="P97" s="710"/>
      <c r="Q97" s="662"/>
      <c r="R97" s="663"/>
      <c r="S97" s="664"/>
      <c r="T97" s="678"/>
      <c r="U97" s="94" t="s">
        <v>1186</v>
      </c>
      <c r="V97" s="391" t="str">
        <f ca="1">IFERROR(IF($N97,IF(AND(career_stage="P",teacher_type="R"),INDEX(INDIRECT("RPS["&amp;V$10&amp;"]"),MATCH($H97,RPS[helper],0),1), IF(AND(career_stage="HP",teacher_type="R"), INDEX(INDIRECT("RHPS["&amp;V$10&amp;"]"),MATCH($H97,RHPS[helper],0),1), IF(AND(career_stage="P",teacher_type="TB"),INDEX(INDIRECT("TBPS["&amp;V$10&amp;"]"),MATCH($H97,TBPS[helper],0),1), IF(AND(career_stage="HP",teacher_type="TB"),INDEX(INDIRECT("TBHPS["&amp;V$10&amp;"]"),MATCH($H97,TBHPS[helper],0),1),"")))),""),"")</f>
        <v/>
      </c>
      <c r="W97" s="391" t="str">
        <f ca="1">IFERROR(IF($N97,IF(AND(career_stage="P",teacher_type="R"),INDEX(INDIRECT("RPS["&amp;W$10&amp;"]"),MATCH($H97,RPS[helper],0),1), IF(AND(career_stage="HP",teacher_type="R"), INDEX(INDIRECT("RHPS["&amp;W$10&amp;"]"),MATCH($H97,RHPS[helper],0),1), IF(AND(career_stage="P",teacher_type="TB"),INDEX(INDIRECT("TBPS["&amp;W$10&amp;"]"),MATCH($H97,TBPS[helper],0),1), IF(AND(career_stage="HP",teacher_type="TB"),INDEX(INDIRECT("TBHPS["&amp;W$10&amp;"]"),MATCH($H97,TBHPS[helper],0),1),"")))),""),"")</f>
        <v/>
      </c>
      <c r="X97" s="391" t="str">
        <f ca="1">IFERROR(IF($N97,IF(AND(career_stage="P",teacher_type="R"),INDEX(INDIRECT("RPS["&amp;X$10&amp;"]"),MATCH($H97,RPS[helper],0),1), IF(AND(career_stage="HP",teacher_type="R"), INDEX(INDIRECT("RHPS["&amp;X$10&amp;"]"),MATCH($H97,RHPS[helper],0),1), IF(AND(career_stage="P",teacher_type="TB"),INDEX(INDIRECT("TBPS["&amp;X$10&amp;"]"),MATCH($H97,TBPS[helper],0),1), IF(AND(career_stage="HP",teacher_type="TB"),INDEX(INDIRECT("TBHPS["&amp;X$10&amp;"]"),MATCH($H97,TBHPS[helper],0),1),"")))),""),"")</f>
        <v/>
      </c>
      <c r="Y97" s="391" t="str">
        <f ca="1">IFERROR(IF($N97,IF(AND(career_stage="P",teacher_type="R"),INDEX(INDIRECT("RPS["&amp;Y$10&amp;"]"),MATCH($H97,RPS[helper],0),1), IF(AND(career_stage="HP",teacher_type="R"), INDEX(INDIRECT("RHPS["&amp;Y$10&amp;"]"),MATCH($H97,RHPS[helper],0),1), IF(AND(career_stage="P",teacher_type="TB"),INDEX(INDIRECT("TBPS["&amp;Y$10&amp;"]"),MATCH($H97,TBPS[helper],0),1), IF(AND(career_stage="HP",teacher_type="TB"),INDEX(INDIRECT("TBHPS["&amp;Y$10&amp;"]"),MATCH($H97,TBHPS[helper],0),1),"")))),""),"")</f>
        <v/>
      </c>
      <c r="Z97" s="391" t="str">
        <f ca="1">IFERROR(IF($N97,IF(AND(career_stage="P",teacher_type="R"),INDEX(INDIRECT("RPS["&amp;Z$10&amp;"]"),MATCH($H97,RPS[helper],0),1), IF(AND(career_stage="HP",teacher_type="R"), INDEX(INDIRECT("RHPS["&amp;Z$10&amp;"]"),MATCH($H97,RHPS[helper],0),1), IF(AND(career_stage="P",teacher_type="TB"),INDEX(INDIRECT("TBPS["&amp;Z$10&amp;"]"),MATCH($H97,TBPS[helper],0),1), IF(AND(career_stage="HP",teacher_type="TB"),INDEX(INDIRECT("TBHPS["&amp;Z$10&amp;"]"),MATCH($H97,TBHPS[helper],0),1),"")))),""),"")</f>
        <v/>
      </c>
      <c r="AA97" s="392" t="str" cm="1">
        <f t="array" ref="AA97">IFERROR(INDEX(V97:Z97,6-AC96),"")</f>
        <v/>
      </c>
      <c r="AB97" s="680"/>
      <c r="AC97" s="680"/>
      <c r="AD97" s="680"/>
      <c r="AE97" s="682"/>
      <c r="AF97" s="661"/>
      <c r="AG97" s="5"/>
    </row>
    <row r="98" spans="1:33" hidden="1" x14ac:dyDescent="0.25">
      <c r="A98" s="92">
        <v>29</v>
      </c>
      <c r="B98" s="99" t="str" cm="1">
        <f t="array" ref="B98">IFERROR(IF(AND(teacher_type="R",career_stage="P"),INDEX(RPI[Strand],$A98),IF(AND(teacher_type="R",career_stage="HP"),INDEX(RHPI[Strand],$A98), IF(AND(teacher_type="TB",career_stage="P"),INDEX(TBPI[Strand],$A98), IF(AND(teacher_type="TB",career_stage="HP"),INDEX(TBHPI[Strand],$A98),0)))),0)</f>
        <v>6.1.2</v>
      </c>
      <c r="C98" s="99">
        <f>IFERROR(IF(AND(teacher_type="R",career_stage="P"),VLOOKUP($B98,RPI[[Strand]:[Domain]],COLUMNS(RPI[[Strand]:[Domain]]),FALSE), IF(AND(teacher_type="R",career_stage="HP"),VLOOKUP($B98,RHPI[[Strand]:[Domain]],COLUMNS(RHPI[[Strand]:[Domain]]),FALSE), IF(AND(teacher_type="TB",career_stage="P"),VLOOKUP($B98,TBPI[[Strand]:[Domain]],COLUMNS(TBPI[[Strand]:[Domain]]),FALSE), IF(AND(teacher_type="TB",career_stage="HP"),VLOOKUP($B98,TBHPI[[Strand]:[Domain]],COLUMNS(TBHPI[[Strand]:[Domain]]),FALSE),"")))),"")</f>
        <v>6</v>
      </c>
      <c r="D98" s="99" t="b">
        <f>IFERROR(IF(AND(career_stage="P",teacher_type="R"),VLOOKUP(B98,RPI[],COLUMNS(RPI[[Strand]:[Selected]]),FALSE), IF(AND(career_stage="HP",teacher_type="R"),VLOOKUP(B98,RHPI[],COLUMNS(RHPI[[Strand]:[Selected]]),FALSE), IF(AND(career_stage="P",teacher_type="TB"),VLOOKUP(B98,TBPI[],COLUMNS(TBPI[[Strand]:[Selected]]),FALSE), IF(AND(career_stage="HP",teacher_type="TB"),VLOOKUP(B98,TBHPI[],COLUMNS(TBHPI[[Strand]:[Selected]]),FALSE),FALSE)))),FALSE)</f>
        <v>0</v>
      </c>
      <c r="E98" s="92" t="b">
        <f>COUNTIFS($C$12:$C98,C98,$D$12:$D98,TRUE)=1</f>
        <v>0</v>
      </c>
      <c r="F98" s="92" t="b">
        <f>COUNTIFS($C$12:$C98,$C98,$B$12:$B98,$B98,$D$12:$D98,TRUE)=1</f>
        <v>0</v>
      </c>
      <c r="G98" s="99">
        <f>IF($F98,COUNTIFS($C$12:$C98,C98,$F$12:$F98,TRUE),0)</f>
        <v>0</v>
      </c>
      <c r="H98" s="99" t="str">
        <f t="shared" si="43"/>
        <v>6.1.2-T</v>
      </c>
      <c r="I98" s="99">
        <f>IF(AND(D98,NOT($A98=$A97)),(COUNTIF($D$11:$D97,TRUE)/3)+1,0)</f>
        <v>0</v>
      </c>
      <c r="J98" s="99" t="s">
        <v>1014</v>
      </c>
      <c r="K98" s="99" t="b">
        <f>IF(AND(teacher_type="R",career_stage="P"),IF(AND(COUNTIFS(RPS[Strand],$B98,RPS[QET],$J98)&gt;0,$D98),TRUE,FALSE), IF(AND(teacher_type="R",career_stage="HP"),IF(AND(COUNTIFS(RHPS[Strand],$B98,RHPS[QET],$J98)&gt;0,$D98),TRUE,FALSE), IF(AND(teacher_type="TB",career_stage="P"),IF(AND(COUNTIFS(TBPS[Strand],$B98,TBPS[QET],$J98)&gt;0,$D98),TRUE,FALSE), IF(AND(teacher_type="TB",career_stage="HP"),IF(AND(COUNTIFS(TBHPS[Strand],$B98,TBHPS[QET],$J98)&gt;0,$D98),TRUE,FALSE),FALSE))))</f>
        <v>0</v>
      </c>
      <c r="L98" s="99" t="str">
        <f>IF($K98,IF(AND(teacher_type="R",career_stage="P"),VLOOKUP($B98,RPI[],COLUMNS(RPI[[Strand]:[user_selected_coi_ncoi]]),FALSE), IF(AND(teacher_type="R",career_stage="HP"),VLOOKUP($B98,RHPI[],COLUMNS(RHPI[[Strand]:[user_selected_coi_ncoi]]),FALSE), IF(AND(teacher_type="TB",career_stage="P"),VLOOKUP($B98,TBPI[],COLUMNS(TBPI[[Strand]:[user_selected_coi_ncoi]]),FALSE), IF(AND(teacher_type="TB",career_stage="HP"),VLOOKUP($B98,TBHPI[],COLUMNS(TBHPI[[Strand]:[user_selected_coi_ncoi]]),FALSE),"")))),"")</f>
        <v/>
      </c>
      <c r="M98" s="99" t="b">
        <f>IF(AND(teacher_type="R",career_stage="P"),IF(AND(COUNTIFS(RPS[Strand],$B98,RPS[QET],M$11)&gt;0,$D98),TRUE,FALSE),IF(AND(teacher_type="R",career_stage="HP"),IF(AND(COUNTIFS(RHPS[Strand],$B98,RHPS[QET],M$11)&gt;0,$D98),TRUE,FALSE), IF(AND(teacher_type="TB",career_stage="P"),IF(AND(COUNTIFS(TBPS[Strand],$B98,TBPS[QET],M$11)&gt;0,$D98),TRUE,FALSE), IF(AND(teacher_type="TB",career_stage="HP"),IF(AND(COUNTIFS(TBHPS[Strand],$B98,TBHPS[QET],M$11)&gt;0,$D98),TRUE,FALSE),FALSE))))</f>
        <v>0</v>
      </c>
      <c r="N98" s="99" t="b">
        <f>IF(AND(teacher_type="R",career_stage="P"),IF(AND(COUNTIFS(RPS[Strand],$B98,RPS[QET],N$11)&gt;0,$D98),TRUE,FALSE),IF(AND(teacher_type="R",career_stage="HP"),IF(AND(COUNTIFS(RHPS[Strand],$B98,RHPS[QET],N$11)&gt;0,$D98),TRUE,FALSE), IF(AND(teacher_type="TB",career_stage="P"),IF(AND(COUNTIFS(TBPS[Strand],$B98,TBPS[QET],N$11)&gt;0,$D98),TRUE,FALSE), IF(AND(teacher_type="TB",career_stage="HP"),IF(AND(COUNTIFS(TBHPS[Strand],$B98,TBHPS[QET],N$11)&gt;0,$D98),TRUE,FALSE),FALSE))))</f>
        <v>0</v>
      </c>
      <c r="O98" s="99" t="b">
        <f>IF(AND(teacher_type="R",career_stage="P"),IF(AND(COUNTIFS(RPS[Strand],$B98,RPS[QET],O$11)&gt;0,$D98),TRUE,FALSE),IF(AND(teacher_type="R",career_stage="HP"),IF(AND(COUNTIFS(RHPS[Strand],$B98,RHPS[QET],O$11)&gt;0,$D98),TRUE,FALSE), IF(AND(teacher_type="TB",career_stage="P"),IF(AND(COUNTIFS(TBPS[Strand],$B98,TBPS[QET],O$11)&gt;0,$D98),TRUE,FALSE), IF(AND(teacher_type="TB",career_stage="HP"),IF(AND(COUNTIFS(TBHPS[Strand],$B98,TBHPS[QET],O$11)&gt;0,$D98),TRUE,FALSE),FALSE))))</f>
        <v>0</v>
      </c>
      <c r="P98" s="710"/>
      <c r="Q98" s="662"/>
      <c r="R98" s="663"/>
      <c r="S98" s="664"/>
      <c r="T98" s="678"/>
      <c r="U98" s="94" t="s">
        <v>1187</v>
      </c>
      <c r="V98" s="391" t="str">
        <f ca="1">IFERROR(IF($O98,IF(AND(career_stage="P",teacher_type="R"),INDEX(INDIRECT("RPS["&amp;V$10&amp;"]"),MATCH($H98,RPS[helper],0),1), IF(AND(career_stage="HP",teacher_type="R"), INDEX(INDIRECT("RHPS["&amp;V$10&amp;"]"),MATCH($H98,RHPS[helper],0),1), IF(AND(career_stage="P",teacher_type="TB"),INDEX(INDIRECT("TBPS["&amp;V$10&amp;"]"),MATCH($H98,TBPS[helper],0),1), IF(AND(career_stage="HP",teacher_type="TB"),INDEX(INDIRECT("TBHPS["&amp;V$10&amp;"]"),MATCH($H98,TBHPS[helper],0),1),"")))),""),"")</f>
        <v/>
      </c>
      <c r="W98" s="391" t="str">
        <f ca="1">IFERROR(IF($O98,IF(AND(career_stage="P",teacher_type="R"),INDEX(INDIRECT("RPS["&amp;W$10&amp;"]"),MATCH($H98,RPS[helper],0),1), IF(AND(career_stage="HP",teacher_type="R"), INDEX(INDIRECT("RHPS["&amp;W$10&amp;"]"),MATCH($H98,RHPS[helper],0),1), IF(AND(career_stage="P",teacher_type="TB"),INDEX(INDIRECT("TBPS["&amp;W$10&amp;"]"),MATCH($H98,TBPS[helper],0),1), IF(AND(career_stage="HP",teacher_type="TB"),INDEX(INDIRECT("TBHPS["&amp;W$10&amp;"]"),MATCH($H98,TBHPS[helper],0),1),"")))),""),"")</f>
        <v/>
      </c>
      <c r="X98" s="391" t="str">
        <f ca="1">IFERROR(IF($O98,IF(AND(career_stage="P",teacher_type="R"),INDEX(INDIRECT("RPS["&amp;X$10&amp;"]"),MATCH($H98,RPS[helper],0),1), IF(AND(career_stage="HP",teacher_type="R"), INDEX(INDIRECT("RHPS["&amp;X$10&amp;"]"),MATCH($H98,RHPS[helper],0),1), IF(AND(career_stage="P",teacher_type="TB"),INDEX(INDIRECT("TBPS["&amp;X$10&amp;"]"),MATCH($H98,TBPS[helper],0),1), IF(AND(career_stage="HP",teacher_type="TB"),INDEX(INDIRECT("TBHPS["&amp;X$10&amp;"]"),MATCH($H98,TBHPS[helper],0),1),"")))),""),"")</f>
        <v/>
      </c>
      <c r="Y98" s="391" t="str">
        <f ca="1">IFERROR(IF($O98,IF(AND(career_stage="P",teacher_type="R"),INDEX(INDIRECT("RPS["&amp;Y$10&amp;"]"),MATCH($H98,RPS[helper],0),1), IF(AND(career_stage="HP",teacher_type="R"), INDEX(INDIRECT("RHPS["&amp;Y$10&amp;"]"),MATCH($H98,RHPS[helper],0),1), IF(AND(career_stage="P",teacher_type="TB"),INDEX(INDIRECT("TBPS["&amp;Y$10&amp;"]"),MATCH($H98,TBPS[helper],0),1), IF(AND(career_stage="HP",teacher_type="TB"),INDEX(INDIRECT("TBHPS["&amp;Y$10&amp;"]"),MATCH($H98,TBHPS[helper],0),1),"")))),""),"")</f>
        <v/>
      </c>
      <c r="Z98" s="391" t="str">
        <f ca="1">IFERROR(IF($O98,IF(AND(career_stage="P",teacher_type="R"),INDEX(INDIRECT("RPS["&amp;Z$10&amp;"]"),MATCH($H98,RPS[helper],0),1), IF(AND(career_stage="HP",teacher_type="R"), INDEX(INDIRECT("RHPS["&amp;Z$10&amp;"]"),MATCH($H98,RHPS[helper],0),1), IF(AND(career_stage="P",teacher_type="TB"),INDEX(INDIRECT("TBPS["&amp;Z$10&amp;"]"),MATCH($H98,TBPS[helper],0),1), IF(AND(career_stage="HP",teacher_type="TB"),INDEX(INDIRECT("TBHPS["&amp;Z$10&amp;"]"),MATCH($H98,TBHPS[helper],0),1),"")))),""),"")</f>
        <v/>
      </c>
      <c r="AA98" s="391" t="str" cm="1">
        <f t="array" ref="AA98">IFERROR(INDEX(V98:Z98,6-AD96),"")</f>
        <v/>
      </c>
      <c r="AB98" s="680"/>
      <c r="AC98" s="680"/>
      <c r="AD98" s="680"/>
      <c r="AE98" s="682"/>
      <c r="AF98" s="661"/>
      <c r="AG98" s="5"/>
    </row>
    <row r="99" spans="1:33" ht="127.5" x14ac:dyDescent="0.25">
      <c r="A99" s="92">
        <v>30</v>
      </c>
      <c r="B99" s="99" t="str" cm="1">
        <f t="array" ref="B99">IFERROR(IF(AND(teacher_type="R",career_stage="P"),INDEX(RPI[Strand],$A99),IF(AND(teacher_type="R",career_stage="HP"),INDEX(RHPI[Strand],$A99), IF(AND(teacher_type="TB",career_stage="P"),INDEX(TBPI[Strand],$A99), IF(AND(teacher_type="TB",career_stage="HP"),INDEX(TBHPI[Strand],$A99),0)))),0)</f>
        <v>6.2.2</v>
      </c>
      <c r="C99" s="99">
        <f>IFERROR(IF(AND(teacher_type="R",career_stage="P"),VLOOKUP($B99,RPI[[Strand]:[Domain]],COLUMNS(RPI[[Strand]:[Domain]]),FALSE), IF(AND(teacher_type="R",career_stage="HP"),VLOOKUP($B99,RHPI[[Strand]:[Domain]],COLUMNS(RHPI[[Strand]:[Domain]]),FALSE), IF(AND(teacher_type="TB",career_stage="P"),VLOOKUP($B99,TBPI[[Strand]:[Domain]],COLUMNS(TBPI[[Strand]:[Domain]]),FALSE), IF(AND(teacher_type="TB",career_stage="HP"),VLOOKUP($B99,TBHPI[[Strand]:[Domain]],COLUMNS(TBHPI[[Strand]:[Domain]]),FALSE),"")))),"")</f>
        <v>4</v>
      </c>
      <c r="D99" s="99" t="b">
        <f>IFERROR(IF(AND(career_stage="P",teacher_type="R"),VLOOKUP(B99,RPI[],COLUMNS(RPI[[Strand]:[Selected]]),FALSE), IF(AND(career_stage="HP",teacher_type="R"),VLOOKUP(B99,RHPI[],COLUMNS(RHPI[[Strand]:[Selected]]),FALSE), IF(AND(career_stage="P",teacher_type="TB"),VLOOKUP(B99,TBPI[],COLUMNS(TBPI[[Strand]:[Selected]]),FALSE), IF(AND(career_stage="HP",teacher_type="TB"),VLOOKUP(B99,TBHPI[],COLUMNS(TBHPI[[Strand]:[Selected]]),FALSE),FALSE)))),FALSE)</f>
        <v>1</v>
      </c>
      <c r="E99" s="92" t="b">
        <f>COUNTIFS($C$12:$C99,C99,$D$12:$D99,TRUE)=1</f>
        <v>1</v>
      </c>
      <c r="F99" s="92" t="b">
        <f>COUNTIFS($C$12:$C99,$C99,$B$12:$B99,$B99,$D$12:$D99,TRUE)=1</f>
        <v>1</v>
      </c>
      <c r="G99" s="99">
        <f>IF($F99,COUNTIFS($C$12:$C99,C99,$F$12:$F99,TRUE),0)</f>
        <v>1</v>
      </c>
      <c r="H99" s="99" t="str">
        <f t="shared" si="43"/>
        <v>6.2.2-Q-NCOI</v>
      </c>
      <c r="I99" s="99">
        <f>IF(AND(D99,NOT($A99=$A98)),(COUNTIF($D$11:$D98,TRUE)/3)+1,0)</f>
        <v>12</v>
      </c>
      <c r="J99" s="99" t="s">
        <v>1012</v>
      </c>
      <c r="K99" s="99" t="b">
        <f>IF(AND(teacher_type="R",career_stage="P"),IF(AND(COUNTIFS(RPS[Strand],$B99,RPS[QET],$J99)&gt;0,$D99),TRUE,FALSE), IF(AND(teacher_type="R",career_stage="HP"),IF(AND(COUNTIFS(RHPS[Strand],$B99,RHPS[QET],$J99)&gt;0,$D99),TRUE,FALSE), IF(AND(teacher_type="TB",career_stage="P"),IF(AND(COUNTIFS(TBPS[Strand],$B99,TBPS[QET],$J99)&gt;0,$D99),TRUE,FALSE), IF(AND(teacher_type="TB",career_stage="HP"),IF(AND(COUNTIFS(TBHPS[Strand],$B99,TBHPS[QET],$J99)&gt;0,$D99),TRUE,FALSE),FALSE))))</f>
        <v>1</v>
      </c>
      <c r="L99" s="99" t="str">
        <f>IF($K99,IF(AND(teacher_type="R",career_stage="P"),VLOOKUP($B99,RPI[],COLUMNS(RPI[[Strand]:[user_selected_coi_ncoi]]),FALSE), IF(AND(teacher_type="R",career_stage="HP"),VLOOKUP($B99,RHPI[],COLUMNS(RHPI[[Strand]:[user_selected_coi_ncoi]]),FALSE), IF(AND(teacher_type="TB",career_stage="P"),VLOOKUP($B99,TBPI[],COLUMNS(TBPI[[Strand]:[user_selected_coi_ncoi]]),FALSE), IF(AND(teacher_type="TB",career_stage="HP"),VLOOKUP($B99,TBHPI[],COLUMNS(TBHPI[[Strand]:[user_selected_coi_ncoi]]),FALSE),"")))),"")</f>
        <v>NCOI</v>
      </c>
      <c r="M99" s="99" t="b">
        <f>IF(AND(teacher_type="R",career_stage="P"),IF(AND(COUNTIFS(RPS[Strand],$B99,RPS[QET],M$11)&gt;0,$D99),TRUE,FALSE),IF(AND(teacher_type="R",career_stage="HP"),IF(AND(COUNTIFS(RHPS[Strand],$B99,RHPS[QET],M$11)&gt;0,$D99),TRUE,FALSE), IF(AND(teacher_type="TB",career_stage="P"),IF(AND(COUNTIFS(TBPS[Strand],$B99,TBPS[QET],M$11)&gt;0,$D99),TRUE,FALSE), IF(AND(teacher_type="TB",career_stage="HP"),IF(AND(COUNTIFS(TBHPS[Strand],$B99,TBHPS[QET],M$11)&gt;0,$D99),TRUE,FALSE),FALSE))))</f>
        <v>1</v>
      </c>
      <c r="N99" s="99" t="b">
        <f>IF(AND(teacher_type="R",career_stage="P"),IF(AND(COUNTIFS(RPS[Strand],$B99,RPS[QET],N$11)&gt;0,$D99),TRUE,FALSE),IF(AND(teacher_type="R",career_stage="HP"),IF(AND(COUNTIFS(RHPS[Strand],$B99,RHPS[QET],N$11)&gt;0,$D99),TRUE,FALSE), IF(AND(teacher_type="TB",career_stage="P"),IF(AND(COUNTIFS(TBPS[Strand],$B99,TBPS[QET],N$11)&gt;0,$D99),TRUE,FALSE), IF(AND(teacher_type="TB",career_stage="HP"),IF(AND(COUNTIFS(TBHPS[Strand],$B99,TBHPS[QET],N$11)&gt;0,$D99),TRUE,FALSE),FALSE))))</f>
        <v>0</v>
      </c>
      <c r="O99" s="99" t="b">
        <f>IF(AND(teacher_type="R",career_stage="P"),IF(AND(COUNTIFS(RPS[Strand],$B99,RPS[QET],O$11)&gt;0,$D99),TRUE,FALSE),IF(AND(teacher_type="R",career_stage="HP"),IF(AND(COUNTIFS(RHPS[Strand],$B99,RHPS[QET],O$11)&gt;0,$D99),TRUE,FALSE), IF(AND(teacher_type="TB",career_stage="P"),IF(AND(COUNTIFS(TBPS[Strand],$B99,TBPS[QET],O$11)&gt;0,$D99),TRUE,FALSE), IF(AND(teacher_type="TB",career_stage="HP"),IF(AND(COUNTIFS(TBHPS[Strand],$B99,TBHPS[QET],O$11)&gt;0,$D99),TRUE,FALSE),FALSE))))</f>
        <v>1</v>
      </c>
      <c r="P99" s="710"/>
      <c r="Q99" s="662" t="str">
        <f>IFERROR(IF(E99,IF(C99="Plus Factor","Plus Factor",C99 &amp; ". " &amp; INDEX(Domains[Domain],MATCH(C99,Domains[Domain_code],0),1)),""),"")</f>
        <v>4. Community Linkages and Professional Engagement &amp; Personal 
Growth and Professional Development</v>
      </c>
      <c r="R99" s="663" t="str">
        <f>IFERROR(IF($F99,$I99 &amp; ". " &amp; IF(AND(career_stage="P",teacher_type="R"), INDEX(RPI[PPST Indicators],MATCH($B99,RPI[Strand],0),1), IF(AND(career_stage="HP",teacher_type="R"),INDEX(RHPI[PPST Indicators],MATCH($B99,RHPI[Strand],0),1), IF(AND(career_stage="P",teacher_type="TB"),INDEX(TBPI[PPST Indicators],MATCH($B99,TBPI[Strand],0),1), IF(AND(career_stage="HP",teacher_type="TB"),INDEX(TBHPI[PPST Indicators],MATCH($B99,TBHPI[Strand],0),1),"")))) &amp; IF(NOT(TRIM(LOWER($C99))="plus factor")," (PPST "&amp;B99&amp;")",""),""),"")</f>
        <v>12. Built relationships with parents/ guardians and the wider school community to facilitate involvement in the educative process (PPST 6.2.2)</v>
      </c>
      <c r="S99" s="664" t="str" cm="1">
        <f t="array" ref="S99">demographics[rating_period]</f>
        <v>SY 2023-2024</v>
      </c>
      <c r="T99" s="678">
        <f>IFERROR(IF(AND(career_stage="P",teacher_type="R"),VLOOKUP(B99,RPI[],COLUMNS(RPI[[Strand]:[Weight]]),FALSE), IF(AND(career_stage="HP",teacher_type="R"),VLOOKUP(B99,RHPI[],COLUMNS(RHPI[[Strand]:[Weight]]),FALSE), IF(AND(career_stage="P",teacher_type="TB"),VLOOKUP(B99,TBPI[],COLUMNS(TBPI[[Strand]:[Weight]]),FALSE), IF(AND(career_stage="HP",teacher_type="TB"),VLOOKUP(B99,TBHPI[],COLUMNS(TBHPI[[Strand]:[Weight]]),FALSE),0)))),0)</f>
        <v>7.0000000000000007E-2</v>
      </c>
      <c r="U99" s="94" t="s">
        <v>1185</v>
      </c>
      <c r="V99" s="391" t="str">
        <f ca="1">IFERROR(IF($M99,IF(AND(career_stage="P",teacher_type="R"),INDEX(INDIRECT("RPS["&amp;V$10&amp;"]"),MATCH($H99,RPS[helper],0),1), IF(AND(career_stage="HP",teacher_type="R"), INDEX(INDIRECT("RHPS["&amp;V$10&amp;"]"),MATCH($H99,RHPS[helper],0),1), IF(AND(career_stage="P",teacher_type="TB"),INDEX(INDIRECT("TBPS["&amp;V$10&amp;"]"),MATCH($H99,TBPS[helper],0),1), IF(AND(career_stage="HP",teacher_type="TB"),INDEX(INDIRECT("TBHPS["&amp;V$10&amp;"]"),MATCH($H99,TBHPS[helper],0),1),"")))),""),"")</f>
        <v>Sustained engagement through regular communication of learners' needs, progress and achievement  to key stakeholders, including parents/guardians, as shown in the MOV submitted</v>
      </c>
      <c r="W99" s="391" t="str">
        <f ca="1">IFERROR(IF($M99,IF(AND(career_stage="P",teacher_type="R"),INDEX(INDIRECT("RPS["&amp;W$10&amp;"]"),MATCH($H99,RPS[helper],0),1), IF(AND(career_stage="HP",teacher_type="R"), INDEX(INDIRECT("RHPS["&amp;W$10&amp;"]"),MATCH($H99,RHPS[helper],0),1), IF(AND(career_stage="P",teacher_type="TB"),INDEX(INDIRECT("TBPS["&amp;W$10&amp;"]"),MATCH($H99,TBPS[helper],0),1), IF(AND(career_stage="HP",teacher_type="TB"),INDEX(INDIRECT("TBHPS["&amp;W$10&amp;"]"),MATCH($H99,TBHPS[helper],0),1),"")))),""),"")</f>
        <v>Sustained engagement with parents/guardians and/or wider school community to facilitate involvement in the educative process as evidenced by 2 or more of MOV no. 1 or 2</v>
      </c>
      <c r="X99" s="391" t="str">
        <f ca="1">IFERROR(IF($M99,IF(AND(career_stage="P",teacher_type="R"),INDEX(INDIRECT("RPS["&amp;X$10&amp;"]"),MATCH($H99,RPS[helper],0),1), IF(AND(career_stage="HP",teacher_type="R"), INDEX(INDIRECT("RHPS["&amp;X$10&amp;"]"),MATCH($H99,RHPS[helper],0),1), IF(AND(career_stage="P",teacher_type="TB"),INDEX(INDIRECT("TBPS["&amp;X$10&amp;"]"),MATCH($H99,TBPS[helper],0),1), IF(AND(career_stage="HP",teacher_type="TB"),INDEX(INDIRECT("TBHPS["&amp;X$10&amp;"]"),MATCH($H99,TBHPS[helper],0),1),"")))),""),"")</f>
        <v>Secured collaboration with parents/guardians and/or wider school community to facilitate involvement in the educative process as evidenced by one MOV no. 1 or 2</v>
      </c>
      <c r="Y99" s="391" t="str">
        <f ca="1">IFERROR(IF($M99,IF(AND(career_stage="P",teacher_type="R"),INDEX(INDIRECT("RPS["&amp;Y$10&amp;"]"),MATCH($H99,RPS[helper],0),1), IF(AND(career_stage="HP",teacher_type="R"), INDEX(INDIRECT("RHPS["&amp;Y$10&amp;"]"),MATCH($H99,RHPS[helper],0),1), IF(AND(career_stage="P",teacher_type="TB"),INDEX(INDIRECT("TBPS["&amp;Y$10&amp;"]"),MATCH($H99,TBPS[helper],0),1), IF(AND(career_stage="HP",teacher_type="TB"),INDEX(INDIRECT("TBHPS["&amp;Y$10&amp;"]"),MATCH($H99,TBHPS[helper],0),1),"")))),""),"")</f>
        <v>Communicated with and obtained response from parents/ guardians and/or wider school community to facilitate involvement in the educative process as evidenced by MOV No. 3</v>
      </c>
      <c r="Z99" s="391" t="str">
        <f ca="1">IFERROR(IF($M99,IF(AND(career_stage="P",teacher_type="R"),INDEX(INDIRECT("RPS["&amp;Z$10&amp;"]"),MATCH($H99,RPS[helper],0),1), IF(AND(career_stage="HP",teacher_type="R"), INDEX(INDIRECT("RHPS["&amp;Z$10&amp;"]"),MATCH($H99,RHPS[helper],0),1), IF(AND(career_stage="P",teacher_type="TB"),INDEX(INDIRECT("TBPS["&amp;Z$10&amp;"]"),MATCH($H99,TBPS[helper],0),1), IF(AND(career_stage="HP",teacher_type="TB"),INDEX(INDIRECT("TBHPS["&amp;Z$10&amp;"]"),MATCH($H99,TBHPS[helper],0),1),"")))),""),"")</f>
        <v>No acceptable evidence was shown</v>
      </c>
      <c r="AA99" s="392" t="str" cm="1">
        <f t="array" aca="1" ref="AA99" ca="1">IFERROR(INDEX(V99:Z99,6-AB99),"")</f>
        <v>Sustained engagement with parents/guardians and/or wider school community to facilitate involvement in the educative process as evidenced by 2 or more of MOV no. 1 or 2</v>
      </c>
      <c r="AB99" s="680">
        <f>IF('Encoding Part 1'!AB51="","",'Encoding Part 1'!AB51)</f>
        <v>4</v>
      </c>
      <c r="AC99" s="680" t="str">
        <f>IF('Encoding Part 1'!AC51="","",'Encoding Part 1'!AC51)</f>
        <v/>
      </c>
      <c r="AD99" s="680">
        <f>IF('Encoding Part 1'!AD51="","",'Encoding Part 1'!AD51)</f>
        <v>5</v>
      </c>
      <c r="AE99" s="682">
        <f t="shared" ref="AE99" si="58">IFERROR(ROUNDDOWN(AVERAGE($AB99:$AD99),3),0)</f>
        <v>4.5</v>
      </c>
      <c r="AF99" s="661">
        <f t="shared" ref="AF99" si="59">ROUNDDOWN($AE99*$T99,3)</f>
        <v>0.315</v>
      </c>
      <c r="AG99" s="5"/>
    </row>
    <row r="100" spans="1:33" hidden="1" x14ac:dyDescent="0.25">
      <c r="A100" s="92">
        <v>30</v>
      </c>
      <c r="B100" s="99" t="str" cm="1">
        <f t="array" ref="B100">IFERROR(IF(AND(teacher_type="R",career_stage="P"),INDEX(RPI[Strand],$A100),IF(AND(teacher_type="R",career_stage="HP"),INDEX(RHPI[Strand],$A100), IF(AND(teacher_type="TB",career_stage="P"),INDEX(TBPI[Strand],$A100), IF(AND(teacher_type="TB",career_stage="HP"),INDEX(TBHPI[Strand],$A100),0)))),0)</f>
        <v>6.2.2</v>
      </c>
      <c r="C100" s="99">
        <f>IFERROR(IF(AND(teacher_type="R",career_stage="P"),VLOOKUP($B100,RPI[[Strand]:[Domain]],COLUMNS(RPI[[Strand]:[Domain]]),FALSE), IF(AND(teacher_type="R",career_stage="HP"),VLOOKUP($B100,RHPI[[Strand]:[Domain]],COLUMNS(RHPI[[Strand]:[Domain]]),FALSE), IF(AND(teacher_type="TB",career_stage="P"),VLOOKUP($B100,TBPI[[Strand]:[Domain]],COLUMNS(TBPI[[Strand]:[Domain]]),FALSE), IF(AND(teacher_type="TB",career_stage="HP"),VLOOKUP($B100,TBHPI[[Strand]:[Domain]],COLUMNS(TBHPI[[Strand]:[Domain]]),FALSE),"")))),"")</f>
        <v>4</v>
      </c>
      <c r="D100" s="99" t="b">
        <f>IFERROR(IF(AND(career_stage="P",teacher_type="R"),VLOOKUP(B100,RPI[],COLUMNS(RPI[[Strand]:[Selected]]),FALSE), IF(AND(career_stage="HP",teacher_type="R"),VLOOKUP(B100,RHPI[],COLUMNS(RHPI[[Strand]:[Selected]]),FALSE), IF(AND(career_stage="P",teacher_type="TB"),VLOOKUP(B100,TBPI[],COLUMNS(TBPI[[Strand]:[Selected]]),FALSE), IF(AND(career_stage="HP",teacher_type="TB"),VLOOKUP(B100,TBHPI[],COLUMNS(TBHPI[[Strand]:[Selected]]),FALSE),FALSE)))),FALSE)</f>
        <v>1</v>
      </c>
      <c r="E100" s="92" t="b">
        <f>COUNTIFS($C$12:$C100,C100,$D$12:$D100,TRUE)=1</f>
        <v>0</v>
      </c>
      <c r="F100" s="92" t="b">
        <f>COUNTIFS($C$12:$C100,$C100,$B$12:$B100,$B100,$D$12:$D100,TRUE)=1</f>
        <v>0</v>
      </c>
      <c r="G100" s="99">
        <f>IF($F100,COUNTIFS($C$12:$C100,C100,$F$12:$F100,TRUE),0)</f>
        <v>0</v>
      </c>
      <c r="H100" s="99" t="str">
        <f t="shared" si="43"/>
        <v>6.2.2-E</v>
      </c>
      <c r="I100" s="99">
        <f>IF(AND(D100,NOT($A100=$A99)),(COUNTIF($D$11:$D99,TRUE)/3)+1,0)</f>
        <v>0</v>
      </c>
      <c r="J100" s="99" t="s">
        <v>1073</v>
      </c>
      <c r="K100" s="99" t="b">
        <f>IF(AND(teacher_type="R",career_stage="P"),IF(AND(COUNTIFS(RPS[Strand],$B100,RPS[QET],$J100)&gt;0,$D100),TRUE,FALSE), IF(AND(teacher_type="R",career_stage="HP"),IF(AND(COUNTIFS(RHPS[Strand],$B100,RHPS[QET],$J100)&gt;0,$D100),TRUE,FALSE), IF(AND(teacher_type="TB",career_stage="P"),IF(AND(COUNTIFS(TBPS[Strand],$B100,TBPS[QET],$J100)&gt;0,$D100),TRUE,FALSE), IF(AND(teacher_type="TB",career_stage="HP"),IF(AND(COUNTIFS(TBHPS[Strand],$B100,TBHPS[QET],$J100)&gt;0,$D100),TRUE,FALSE),FALSE))))</f>
        <v>0</v>
      </c>
      <c r="L100" s="99" t="str">
        <f>IF($K100,IF(AND(teacher_type="R",career_stage="P"),VLOOKUP($B100,RPI[],COLUMNS(RPI[[Strand]:[user_selected_coi_ncoi]]),FALSE), IF(AND(teacher_type="R",career_stage="HP"),VLOOKUP($B100,RHPI[],COLUMNS(RHPI[[Strand]:[user_selected_coi_ncoi]]),FALSE), IF(AND(teacher_type="TB",career_stage="P"),VLOOKUP($B100,TBPI[],COLUMNS(TBPI[[Strand]:[user_selected_coi_ncoi]]),FALSE), IF(AND(teacher_type="TB",career_stage="HP"),VLOOKUP($B100,TBHPI[],COLUMNS(TBHPI[[Strand]:[user_selected_coi_ncoi]]),FALSE),"")))),"")</f>
        <v/>
      </c>
      <c r="M100" s="99" t="b">
        <f>IF(AND(teacher_type="R",career_stage="P"),IF(AND(COUNTIFS(RPS[Strand],$B100,RPS[QET],M$11)&gt;0,$D100),TRUE,FALSE),IF(AND(teacher_type="R",career_stage="HP"),IF(AND(COUNTIFS(RHPS[Strand],$B100,RHPS[QET],M$11)&gt;0,$D100),TRUE,FALSE), IF(AND(teacher_type="TB",career_stage="P"),IF(AND(COUNTIFS(TBPS[Strand],$B100,TBPS[QET],M$11)&gt;0,$D100),TRUE,FALSE), IF(AND(teacher_type="TB",career_stage="HP"),IF(AND(COUNTIFS(TBHPS[Strand],$B100,TBHPS[QET],M$11)&gt;0,$D100),TRUE,FALSE),FALSE))))</f>
        <v>1</v>
      </c>
      <c r="N100" s="99" t="b">
        <f>IF(AND(teacher_type="R",career_stage="P"),IF(AND(COUNTIFS(RPS[Strand],$B100,RPS[QET],N$11)&gt;0,$D100),TRUE,FALSE),IF(AND(teacher_type="R",career_stage="HP"),IF(AND(COUNTIFS(RHPS[Strand],$B100,RHPS[QET],N$11)&gt;0,$D100),TRUE,FALSE), IF(AND(teacher_type="TB",career_stage="P"),IF(AND(COUNTIFS(TBPS[Strand],$B100,TBPS[QET],N$11)&gt;0,$D100),TRUE,FALSE), IF(AND(teacher_type="TB",career_stage="HP"),IF(AND(COUNTIFS(TBHPS[Strand],$B100,TBHPS[QET],N$11)&gt;0,$D100),TRUE,FALSE),FALSE))))</f>
        <v>0</v>
      </c>
      <c r="O100" s="99" t="b">
        <f>IF(AND(teacher_type="R",career_stage="P"),IF(AND(COUNTIFS(RPS[Strand],$B100,RPS[QET],O$11)&gt;0,$D100),TRUE,FALSE),IF(AND(teacher_type="R",career_stage="HP"),IF(AND(COUNTIFS(RHPS[Strand],$B100,RHPS[QET],O$11)&gt;0,$D100),TRUE,FALSE), IF(AND(teacher_type="TB",career_stage="P"),IF(AND(COUNTIFS(TBPS[Strand],$B100,TBPS[QET],O$11)&gt;0,$D100),TRUE,FALSE), IF(AND(teacher_type="TB",career_stage="HP"),IF(AND(COUNTIFS(TBHPS[Strand],$B100,TBHPS[QET],O$11)&gt;0,$D100),TRUE,FALSE),FALSE))))</f>
        <v>1</v>
      </c>
      <c r="P100" s="710"/>
      <c r="Q100" s="662"/>
      <c r="R100" s="663"/>
      <c r="S100" s="664"/>
      <c r="T100" s="678"/>
      <c r="U100" s="94" t="s">
        <v>1186</v>
      </c>
      <c r="V100" s="391" t="str">
        <f ca="1">IFERROR(IF($N100,IF(AND(career_stage="P",teacher_type="R"),INDEX(INDIRECT("RPS["&amp;V$10&amp;"]"),MATCH($H100,RPS[helper],0),1), IF(AND(career_stage="HP",teacher_type="R"), INDEX(INDIRECT("RHPS["&amp;V$10&amp;"]"),MATCH($H100,RHPS[helper],0),1), IF(AND(career_stage="P",teacher_type="TB"),INDEX(INDIRECT("TBPS["&amp;V$10&amp;"]"),MATCH($H100,TBPS[helper],0),1), IF(AND(career_stage="HP",teacher_type="TB"),INDEX(INDIRECT("TBHPS["&amp;V$10&amp;"]"),MATCH($H100,TBHPS[helper],0),1),"")))),""),"")</f>
        <v/>
      </c>
      <c r="W100" s="391" t="str">
        <f ca="1">IFERROR(IF($N100,IF(AND(career_stage="P",teacher_type="R"),INDEX(INDIRECT("RPS["&amp;W$10&amp;"]"),MATCH($H100,RPS[helper],0),1), IF(AND(career_stage="HP",teacher_type="R"), INDEX(INDIRECT("RHPS["&amp;W$10&amp;"]"),MATCH($H100,RHPS[helper],0),1), IF(AND(career_stage="P",teacher_type="TB"),INDEX(INDIRECT("TBPS["&amp;W$10&amp;"]"),MATCH($H100,TBPS[helper],0),1), IF(AND(career_stage="HP",teacher_type="TB"),INDEX(INDIRECT("TBHPS["&amp;W$10&amp;"]"),MATCH($H100,TBHPS[helper],0),1),"")))),""),"")</f>
        <v/>
      </c>
      <c r="X100" s="391" t="str">
        <f ca="1">IFERROR(IF($N100,IF(AND(career_stage="P",teacher_type="R"),INDEX(INDIRECT("RPS["&amp;X$10&amp;"]"),MATCH($H100,RPS[helper],0),1), IF(AND(career_stage="HP",teacher_type="R"), INDEX(INDIRECT("RHPS["&amp;X$10&amp;"]"),MATCH($H100,RHPS[helper],0),1), IF(AND(career_stage="P",teacher_type="TB"),INDEX(INDIRECT("TBPS["&amp;X$10&amp;"]"),MATCH($H100,TBPS[helper],0),1), IF(AND(career_stage="HP",teacher_type="TB"),INDEX(INDIRECT("TBHPS["&amp;X$10&amp;"]"),MATCH($H100,TBHPS[helper],0),1),"")))),""),"")</f>
        <v/>
      </c>
      <c r="Y100" s="391" t="str">
        <f ca="1">IFERROR(IF($N100,IF(AND(career_stage="P",teacher_type="R"),INDEX(INDIRECT("RPS["&amp;Y$10&amp;"]"),MATCH($H100,RPS[helper],0),1), IF(AND(career_stage="HP",teacher_type="R"), INDEX(INDIRECT("RHPS["&amp;Y$10&amp;"]"),MATCH($H100,RHPS[helper],0),1), IF(AND(career_stage="P",teacher_type="TB"),INDEX(INDIRECT("TBPS["&amp;Y$10&amp;"]"),MATCH($H100,TBPS[helper],0),1), IF(AND(career_stage="HP",teacher_type="TB"),INDEX(INDIRECT("TBHPS["&amp;Y$10&amp;"]"),MATCH($H100,TBHPS[helper],0),1),"")))),""),"")</f>
        <v/>
      </c>
      <c r="Z100" s="391" t="str">
        <f ca="1">IFERROR(IF($N100,IF(AND(career_stage="P",teacher_type="R"),INDEX(INDIRECT("RPS["&amp;Z$10&amp;"]"),MATCH($H100,RPS[helper],0),1), IF(AND(career_stage="HP",teacher_type="R"), INDEX(INDIRECT("RHPS["&amp;Z$10&amp;"]"),MATCH($H100,RHPS[helper],0),1), IF(AND(career_stage="P",teacher_type="TB"),INDEX(INDIRECT("TBPS["&amp;Z$10&amp;"]"),MATCH($H100,TBPS[helper],0),1), IF(AND(career_stage="HP",teacher_type="TB"),INDEX(INDIRECT("TBHPS["&amp;Z$10&amp;"]"),MATCH($H100,TBHPS[helper],0),1),"")))),""),"")</f>
        <v/>
      </c>
      <c r="AA100" s="392" t="str" cm="1">
        <f t="array" ref="AA100">IFERROR(INDEX(V100:Z100,6-AC99),"")</f>
        <v/>
      </c>
      <c r="AB100" s="680"/>
      <c r="AC100" s="680"/>
      <c r="AD100" s="680"/>
      <c r="AE100" s="682"/>
      <c r="AF100" s="661"/>
      <c r="AG100" s="5"/>
    </row>
    <row r="101" spans="1:33" ht="63.75" x14ac:dyDescent="0.25">
      <c r="A101" s="92">
        <v>30</v>
      </c>
      <c r="B101" s="99" t="str" cm="1">
        <f t="array" ref="B101">IFERROR(IF(AND(teacher_type="R",career_stage="P"),INDEX(RPI[Strand],$A101),IF(AND(teacher_type="R",career_stage="HP"),INDEX(RHPI[Strand],$A101), IF(AND(teacher_type="TB",career_stage="P"),INDEX(TBPI[Strand],$A101), IF(AND(teacher_type="TB",career_stage="HP"),INDEX(TBHPI[Strand],$A101),0)))),0)</f>
        <v>6.2.2</v>
      </c>
      <c r="C101" s="99">
        <f>IFERROR(IF(AND(teacher_type="R",career_stage="P"),VLOOKUP($B101,RPI[[Strand]:[Domain]],COLUMNS(RPI[[Strand]:[Domain]]),FALSE), IF(AND(teacher_type="R",career_stage="HP"),VLOOKUP($B101,RHPI[[Strand]:[Domain]],COLUMNS(RHPI[[Strand]:[Domain]]),FALSE), IF(AND(teacher_type="TB",career_stage="P"),VLOOKUP($B101,TBPI[[Strand]:[Domain]],COLUMNS(TBPI[[Strand]:[Domain]]),FALSE), IF(AND(teacher_type="TB",career_stage="HP"),VLOOKUP($B101,TBHPI[[Strand]:[Domain]],COLUMNS(TBHPI[[Strand]:[Domain]]),FALSE),"")))),"")</f>
        <v>4</v>
      </c>
      <c r="D101" s="99" t="b">
        <f>IFERROR(IF(AND(career_stage="P",teacher_type="R"),VLOOKUP(B101,RPI[],COLUMNS(RPI[[Strand]:[Selected]]),FALSE), IF(AND(career_stage="HP",teacher_type="R"),VLOOKUP(B101,RHPI[],COLUMNS(RHPI[[Strand]:[Selected]]),FALSE), IF(AND(career_stage="P",teacher_type="TB"),VLOOKUP(B101,TBPI[],COLUMNS(TBPI[[Strand]:[Selected]]),FALSE), IF(AND(career_stage="HP",teacher_type="TB"),VLOOKUP(B101,TBHPI[],COLUMNS(TBHPI[[Strand]:[Selected]]),FALSE),FALSE)))),FALSE)</f>
        <v>1</v>
      </c>
      <c r="E101" s="92" t="b">
        <f>COUNTIFS($C$12:$C101,C101,$D$12:$D101,TRUE)=1</f>
        <v>0</v>
      </c>
      <c r="F101" s="92" t="b">
        <f>COUNTIFS($C$12:$C101,$C101,$B$12:$B101,$B101,$D$12:$D101,TRUE)=1</f>
        <v>0</v>
      </c>
      <c r="G101" s="99">
        <f>IF($F101,COUNTIFS($C$12:$C101,C101,$F$12:$F101,TRUE),0)</f>
        <v>0</v>
      </c>
      <c r="H101" s="99" t="str">
        <f t="shared" si="43"/>
        <v>6.2.2-T-NCOI</v>
      </c>
      <c r="I101" s="99">
        <f>IF(AND(D101,NOT($A101=$A100)),(COUNTIF($D$11:$D100,TRUE)/3)+1,0)</f>
        <v>0</v>
      </c>
      <c r="J101" s="99" t="s">
        <v>1014</v>
      </c>
      <c r="K101" s="99" t="b">
        <f>IF(AND(teacher_type="R",career_stage="P"),IF(AND(COUNTIFS(RPS[Strand],$B101,RPS[QET],$J101)&gt;0,$D101),TRUE,FALSE), IF(AND(teacher_type="R",career_stage="HP"),IF(AND(COUNTIFS(RHPS[Strand],$B101,RHPS[QET],$J101)&gt;0,$D101),TRUE,FALSE), IF(AND(teacher_type="TB",career_stage="P"),IF(AND(COUNTIFS(TBPS[Strand],$B101,TBPS[QET],$J101)&gt;0,$D101),TRUE,FALSE), IF(AND(teacher_type="TB",career_stage="HP"),IF(AND(COUNTIFS(TBHPS[Strand],$B101,TBHPS[QET],$J101)&gt;0,$D101),TRUE,FALSE),FALSE))))</f>
        <v>1</v>
      </c>
      <c r="L101" s="99" t="str">
        <f>IF($K101,IF(AND(teacher_type="R",career_stage="P"),VLOOKUP($B101,RPI[],COLUMNS(RPI[[Strand]:[user_selected_coi_ncoi]]),FALSE), IF(AND(teacher_type="R",career_stage="HP"),VLOOKUP($B101,RHPI[],COLUMNS(RHPI[[Strand]:[user_selected_coi_ncoi]]),FALSE), IF(AND(teacher_type="TB",career_stage="P"),VLOOKUP($B101,TBPI[],COLUMNS(TBPI[[Strand]:[user_selected_coi_ncoi]]),FALSE), IF(AND(teacher_type="TB",career_stage="HP"),VLOOKUP($B101,TBHPI[],COLUMNS(TBHPI[[Strand]:[user_selected_coi_ncoi]]),FALSE),"")))),"")</f>
        <v>NCOI</v>
      </c>
      <c r="M101" s="99" t="b">
        <f>IF(AND(teacher_type="R",career_stage="P"),IF(AND(COUNTIFS(RPS[Strand],$B101,RPS[QET],M$11)&gt;0,$D101),TRUE,FALSE),IF(AND(teacher_type="R",career_stage="HP"),IF(AND(COUNTIFS(RHPS[Strand],$B101,RHPS[QET],M$11)&gt;0,$D101),TRUE,FALSE), IF(AND(teacher_type="TB",career_stage="P"),IF(AND(COUNTIFS(TBPS[Strand],$B101,TBPS[QET],M$11)&gt;0,$D101),TRUE,FALSE), IF(AND(teacher_type="TB",career_stage="HP"),IF(AND(COUNTIFS(TBHPS[Strand],$B101,TBHPS[QET],M$11)&gt;0,$D101),TRUE,FALSE),FALSE))))</f>
        <v>1</v>
      </c>
      <c r="N101" s="99" t="b">
        <f>IF(AND(teacher_type="R",career_stage="P"),IF(AND(COUNTIFS(RPS[Strand],$B101,RPS[QET],N$11)&gt;0,$D101),TRUE,FALSE),IF(AND(teacher_type="R",career_stage="HP"),IF(AND(COUNTIFS(RHPS[Strand],$B101,RHPS[QET],N$11)&gt;0,$D101),TRUE,FALSE), IF(AND(teacher_type="TB",career_stage="P"),IF(AND(COUNTIFS(TBPS[Strand],$B101,TBPS[QET],N$11)&gt;0,$D101),TRUE,FALSE), IF(AND(teacher_type="TB",career_stage="HP"),IF(AND(COUNTIFS(TBHPS[Strand],$B101,TBHPS[QET],N$11)&gt;0,$D101),TRUE,FALSE),FALSE))))</f>
        <v>0</v>
      </c>
      <c r="O101" s="99" t="b">
        <f>IF(AND(teacher_type="R",career_stage="P"),IF(AND(COUNTIFS(RPS[Strand],$B101,RPS[QET],O$11)&gt;0,$D101),TRUE,FALSE),IF(AND(teacher_type="R",career_stage="HP"),IF(AND(COUNTIFS(RHPS[Strand],$B101,RHPS[QET],O$11)&gt;0,$D101),TRUE,FALSE), IF(AND(teacher_type="TB",career_stage="P"),IF(AND(COUNTIFS(TBPS[Strand],$B101,TBPS[QET],O$11)&gt;0,$D101),TRUE,FALSE), IF(AND(teacher_type="TB",career_stage="HP"),IF(AND(COUNTIFS(TBHPS[Strand],$B101,TBHPS[QET],O$11)&gt;0,$D101),TRUE,FALSE),FALSE))))</f>
        <v>1</v>
      </c>
      <c r="P101" s="710"/>
      <c r="Q101" s="662"/>
      <c r="R101" s="663"/>
      <c r="S101" s="664"/>
      <c r="T101" s="678"/>
      <c r="U101" s="94" t="s">
        <v>1187</v>
      </c>
      <c r="V101" s="391" t="str">
        <f ca="1">IFERROR(IF($O101,IF(AND(career_stage="P",teacher_type="R"),INDEX(INDIRECT("RPS["&amp;V$10&amp;"]"),MATCH($H101,RPS[helper],0),1), IF(AND(career_stage="HP",teacher_type="R"), INDEX(INDIRECT("RHPS["&amp;V$10&amp;"]"),MATCH($H101,RHPS[helper],0),1), IF(AND(career_stage="P",teacher_type="TB"),INDEX(INDIRECT("TBPS["&amp;V$10&amp;"]"),MATCH($H101,TBPS[helper],0),1), IF(AND(career_stage="HP",teacher_type="TB"),INDEX(INDIRECT("TBHPS["&amp;V$10&amp;"]"),MATCH($H101,TBHPS[helper],0),1),"")))),""),"")</f>
        <v>Showed engagement with parents/guardians and the wider school community across 4 quarters</v>
      </c>
      <c r="W101" s="391" t="str">
        <f ca="1">IFERROR(IF($O101,IF(AND(career_stage="P",teacher_type="R"),INDEX(INDIRECT("RPS["&amp;W$10&amp;"]"),MATCH($H101,RPS[helper],0),1), IF(AND(career_stage="HP",teacher_type="R"), INDEX(INDIRECT("RHPS["&amp;W$10&amp;"]"),MATCH($H101,RHPS[helper],0),1), IF(AND(career_stage="P",teacher_type="TB"),INDEX(INDIRECT("TBPS["&amp;W$10&amp;"]"),MATCH($H101,TBPS[helper],0),1), IF(AND(career_stage="HP",teacher_type="TB"),INDEX(INDIRECT("TBHPS["&amp;W$10&amp;"]"),MATCH($H101,TBHPS[helper],0),1),"")))),""),"")</f>
        <v>Showed engagement with parents/guardians and the wider school community across 3 quarters</v>
      </c>
      <c r="X101" s="391" t="str">
        <f ca="1">IFERROR(IF($O101,IF(AND(career_stage="P",teacher_type="R"),INDEX(INDIRECT("RPS["&amp;X$10&amp;"]"),MATCH($H101,RPS[helper],0),1), IF(AND(career_stage="HP",teacher_type="R"), INDEX(INDIRECT("RHPS["&amp;X$10&amp;"]"),MATCH($H101,RHPS[helper],0),1), IF(AND(career_stage="P",teacher_type="TB"),INDEX(INDIRECT("TBPS["&amp;X$10&amp;"]"),MATCH($H101,TBPS[helper],0),1), IF(AND(career_stage="HP",teacher_type="TB"),INDEX(INDIRECT("TBHPS["&amp;X$10&amp;"]"),MATCH($H101,TBHPS[helper],0),1),"")))),""),"")</f>
        <v>Showed engagement with parents/guardians and the wider school community across 2 quarters</v>
      </c>
      <c r="Y101" s="391" t="str">
        <f ca="1">IFERROR(IF($O101,IF(AND(career_stage="P",teacher_type="R"),INDEX(INDIRECT("RPS["&amp;Y$10&amp;"]"),MATCH($H101,RPS[helper],0),1), IF(AND(career_stage="HP",teacher_type="R"), INDEX(INDIRECT("RHPS["&amp;Y$10&amp;"]"),MATCH($H101,RHPS[helper],0),1), IF(AND(career_stage="P",teacher_type="TB"),INDEX(INDIRECT("TBPS["&amp;Y$10&amp;"]"),MATCH($H101,TBPS[helper],0),1), IF(AND(career_stage="HP",teacher_type="TB"),INDEX(INDIRECT("TBHPS["&amp;Y$10&amp;"]"),MATCH($H101,TBHPS[helper],0),1),"")))),""),"")</f>
        <v>Showed engagement with parents/guardians and the wider school community in only 1 quarter</v>
      </c>
      <c r="Z101" s="391" t="str">
        <f ca="1">IFERROR(IF($O101,IF(AND(career_stage="P",teacher_type="R"),INDEX(INDIRECT("RPS["&amp;Z$10&amp;"]"),MATCH($H101,RPS[helper],0),1), IF(AND(career_stage="HP",teacher_type="R"), INDEX(INDIRECT("RHPS["&amp;Z$10&amp;"]"),MATCH($H101,RHPS[helper],0),1), IF(AND(career_stage="P",teacher_type="TB"),INDEX(INDIRECT("TBPS["&amp;Z$10&amp;"]"),MATCH($H101,TBPS[helper],0),1), IF(AND(career_stage="HP",teacher_type="TB"),INDEX(INDIRECT("TBHPS["&amp;Z$10&amp;"]"),MATCH($H101,TBHPS[helper],0),1),"")))),""),"")</f>
        <v>No acceptable evidence was shown</v>
      </c>
      <c r="AA101" s="391" t="str" cm="1">
        <f t="array" aca="1" ref="AA101" ca="1">IFERROR(INDEX(V101:Z101,6-AD99),"")</f>
        <v>Showed engagement with parents/guardians and the wider school community across 4 quarters</v>
      </c>
      <c r="AB101" s="680"/>
      <c r="AC101" s="680"/>
      <c r="AD101" s="680"/>
      <c r="AE101" s="682"/>
      <c r="AF101" s="661"/>
      <c r="AG101" s="5"/>
    </row>
    <row r="102" spans="1:33" hidden="1" x14ac:dyDescent="0.25">
      <c r="A102" s="92">
        <v>31</v>
      </c>
      <c r="B102" s="99" t="str" cm="1">
        <f t="array" ref="B102">IFERROR(IF(AND(teacher_type="R",career_stage="P"),INDEX(RPI[Strand],$A102),IF(AND(teacher_type="R",career_stage="HP"),INDEX(RHPI[Strand],$A102), IF(AND(teacher_type="TB",career_stage="P"),INDEX(TBPI[Strand],$A102), IF(AND(teacher_type="TB",career_stage="HP"),INDEX(TBHPI[Strand],$A102),0)))),0)</f>
        <v>6.3.2</v>
      </c>
      <c r="C102" s="99">
        <f>IFERROR(IF(AND(teacher_type="R",career_stage="P"),VLOOKUP($B102,RPI[[Strand]:[Domain]],COLUMNS(RPI[[Strand]:[Domain]]),FALSE), IF(AND(teacher_type="R",career_stage="HP"),VLOOKUP($B102,RHPI[[Strand]:[Domain]],COLUMNS(RHPI[[Strand]:[Domain]]),FALSE), IF(AND(teacher_type="TB",career_stage="P"),VLOOKUP($B102,TBPI[[Strand]:[Domain]],COLUMNS(TBPI[[Strand]:[Domain]]),FALSE), IF(AND(teacher_type="TB",career_stage="HP"),VLOOKUP($B102,TBHPI[[Strand]:[Domain]],COLUMNS(TBHPI[[Strand]:[Domain]]),FALSE),"")))),"")</f>
        <v>6</v>
      </c>
      <c r="D102" s="99" t="b">
        <f>IFERROR(IF(AND(career_stage="P",teacher_type="R"),VLOOKUP(B102,RPI[],COLUMNS(RPI[[Strand]:[Selected]]),FALSE), IF(AND(career_stage="HP",teacher_type="R"),VLOOKUP(B102,RHPI[],COLUMNS(RHPI[[Strand]:[Selected]]),FALSE), IF(AND(career_stage="P",teacher_type="TB"),VLOOKUP(B102,TBPI[],COLUMNS(TBPI[[Strand]:[Selected]]),FALSE), IF(AND(career_stage="HP",teacher_type="TB"),VLOOKUP(B102,TBHPI[],COLUMNS(TBHPI[[Strand]:[Selected]]),FALSE),FALSE)))),FALSE)</f>
        <v>0</v>
      </c>
      <c r="E102" s="92" t="b">
        <f>COUNTIFS($C$12:$C102,C102,$D$12:$D102,TRUE)=1</f>
        <v>0</v>
      </c>
      <c r="F102" s="92" t="b">
        <f>COUNTIFS($C$12:$C102,$C102,$B$12:$B102,$B102,$D$12:$D102,TRUE)=1</f>
        <v>0</v>
      </c>
      <c r="G102" s="99">
        <f>IF($F102,COUNTIFS($C$12:$C102,C102,$F$12:$F102,TRUE),0)</f>
        <v>0</v>
      </c>
      <c r="H102" s="99" t="str">
        <f t="shared" si="43"/>
        <v>6.3.2-Q</v>
      </c>
      <c r="I102" s="99">
        <f>IF(AND(D102,NOT($A102=$A101)),(COUNTIF($D$11:$D101,TRUE)/3)+1,0)</f>
        <v>0</v>
      </c>
      <c r="J102" s="99" t="s">
        <v>1012</v>
      </c>
      <c r="K102" s="99" t="b">
        <f>IF(AND(teacher_type="R",career_stage="P"),IF(AND(COUNTIFS(RPS[Strand],$B102,RPS[QET],$J102)&gt;0,$D102),TRUE,FALSE), IF(AND(teacher_type="R",career_stage="HP"),IF(AND(COUNTIFS(RHPS[Strand],$B102,RHPS[QET],$J102)&gt;0,$D102),TRUE,FALSE), IF(AND(teacher_type="TB",career_stage="P"),IF(AND(COUNTIFS(TBPS[Strand],$B102,TBPS[QET],$J102)&gt;0,$D102),TRUE,FALSE), IF(AND(teacher_type="TB",career_stage="HP"),IF(AND(COUNTIFS(TBHPS[Strand],$B102,TBHPS[QET],$J102)&gt;0,$D102),TRUE,FALSE),FALSE))))</f>
        <v>0</v>
      </c>
      <c r="L102" s="99" t="str">
        <f>IF($K102,IF(AND(teacher_type="R",career_stage="P"),VLOOKUP($B102,RPI[],COLUMNS(RPI[[Strand]:[user_selected_coi_ncoi]]),FALSE), IF(AND(teacher_type="R",career_stage="HP"),VLOOKUP($B102,RHPI[],COLUMNS(RHPI[[Strand]:[user_selected_coi_ncoi]]),FALSE), IF(AND(teacher_type="TB",career_stage="P"),VLOOKUP($B102,TBPI[],COLUMNS(TBPI[[Strand]:[user_selected_coi_ncoi]]),FALSE), IF(AND(teacher_type="TB",career_stage="HP"),VLOOKUP($B102,TBHPI[],COLUMNS(TBHPI[[Strand]:[user_selected_coi_ncoi]]),FALSE),"")))),"")</f>
        <v/>
      </c>
      <c r="M102" s="99" t="b">
        <f>IF(AND(teacher_type="R",career_stage="P"),IF(AND(COUNTIFS(RPS[Strand],$B102,RPS[QET],M$11)&gt;0,$D102),TRUE,FALSE),IF(AND(teacher_type="R",career_stage="HP"),IF(AND(COUNTIFS(RHPS[Strand],$B102,RHPS[QET],M$11)&gt;0,$D102),TRUE,FALSE), IF(AND(teacher_type="TB",career_stage="P"),IF(AND(COUNTIFS(TBPS[Strand],$B102,TBPS[QET],M$11)&gt;0,$D102),TRUE,FALSE), IF(AND(teacher_type="TB",career_stage="HP"),IF(AND(COUNTIFS(TBHPS[Strand],$B102,TBHPS[QET],M$11)&gt;0,$D102),TRUE,FALSE),FALSE))))</f>
        <v>0</v>
      </c>
      <c r="N102" s="99" t="b">
        <f>IF(AND(teacher_type="R",career_stage="P"),IF(AND(COUNTIFS(RPS[Strand],$B102,RPS[QET],N$11)&gt;0,$D102),TRUE,FALSE),IF(AND(teacher_type="R",career_stage="HP"),IF(AND(COUNTIFS(RHPS[Strand],$B102,RHPS[QET],N$11)&gt;0,$D102),TRUE,FALSE), IF(AND(teacher_type="TB",career_stage="P"),IF(AND(COUNTIFS(TBPS[Strand],$B102,TBPS[QET],N$11)&gt;0,$D102),TRUE,FALSE), IF(AND(teacher_type="TB",career_stage="HP"),IF(AND(COUNTIFS(TBHPS[Strand],$B102,TBHPS[QET],N$11)&gt;0,$D102),TRUE,FALSE),FALSE))))</f>
        <v>0</v>
      </c>
      <c r="O102" s="99" t="b">
        <f>IF(AND(teacher_type="R",career_stage="P"),IF(AND(COUNTIFS(RPS[Strand],$B102,RPS[QET],O$11)&gt;0,$D102),TRUE,FALSE),IF(AND(teacher_type="R",career_stage="HP"),IF(AND(COUNTIFS(RHPS[Strand],$B102,RHPS[QET],O$11)&gt;0,$D102),TRUE,FALSE), IF(AND(teacher_type="TB",career_stage="P"),IF(AND(COUNTIFS(TBPS[Strand],$B102,TBPS[QET],O$11)&gt;0,$D102),TRUE,FALSE), IF(AND(teacher_type="TB",career_stage="HP"),IF(AND(COUNTIFS(TBHPS[Strand],$B102,TBHPS[QET],O$11)&gt;0,$D102),TRUE,FALSE),FALSE))))</f>
        <v>0</v>
      </c>
      <c r="P102" s="710"/>
      <c r="Q102" s="662" t="str">
        <f>IFERROR(IF(E102,IF(C102="Plus Factor","Plus Factor",C102 &amp; ". " &amp; INDEX(Domains[Domain],MATCH(C102,Domains[Domain_code],0),1)),""),"")</f>
        <v/>
      </c>
      <c r="R102" s="663" t="str">
        <f>IFERROR(IF($F102,$I102 &amp; ". " &amp; IF(AND(career_stage="P",teacher_type="R"), INDEX(RPI[PPST Indicators],MATCH($B102,RPI[Strand],0),1), IF(AND(career_stage="HP",teacher_type="R"),INDEX(RHPI[PPST Indicators],MATCH($B102,RHPI[Strand],0),1), IF(AND(career_stage="P",teacher_type="TB"),INDEX(TBPI[PPST Indicators],MATCH($B102,TBPI[Strand],0),1), IF(AND(career_stage="HP",teacher_type="TB"),INDEX(TBHPI[PPST Indicators],MATCH($B102,TBHPI[Strand],0),1),"")))) &amp; IF(NOT(TRIM(LOWER($C102))="plus factor")," (PPST "&amp;B102&amp;")",""),""),"")</f>
        <v/>
      </c>
      <c r="S102" s="664" t="str" cm="1">
        <f t="array" ref="S102">demographics[rating_period]</f>
        <v>SY 2023-2024</v>
      </c>
      <c r="T102" s="678">
        <f>IFERROR(IF(AND(career_stage="P",teacher_type="R"),VLOOKUP(B102,RPI[],COLUMNS(RPI[[Strand]:[Weight]]),FALSE), IF(AND(career_stage="HP",teacher_type="R"),VLOOKUP(B102,RHPI[],COLUMNS(RHPI[[Strand]:[Weight]]),FALSE), IF(AND(career_stage="P",teacher_type="TB"),VLOOKUP(B102,TBPI[],COLUMNS(TBPI[[Strand]:[Weight]]),FALSE), IF(AND(career_stage="HP",teacher_type="TB"),VLOOKUP(B102,TBHPI[],COLUMNS(TBHPI[[Strand]:[Weight]]),FALSE),0)))),0)</f>
        <v>0</v>
      </c>
      <c r="U102" s="94" t="s">
        <v>1185</v>
      </c>
      <c r="V102" s="391" t="str">
        <f ca="1">IFERROR(IF($M102,IF(AND(career_stage="P",teacher_type="R"),INDEX(INDIRECT("RPS["&amp;V$10&amp;"]"),MATCH($H102,RPS[helper],0),1), IF(AND(career_stage="HP",teacher_type="R"), INDEX(INDIRECT("RHPS["&amp;V$10&amp;"]"),MATCH($H102,RHPS[helper],0),1), IF(AND(career_stage="P",teacher_type="TB"),INDEX(INDIRECT("TBPS["&amp;V$10&amp;"]"),MATCH($H102,TBPS[helper],0),1), IF(AND(career_stage="HP",teacher_type="TB"),INDEX(INDIRECT("TBHPS["&amp;V$10&amp;"]"),MATCH($H102,TBHPS[helper],0),1),"")))),""),"")</f>
        <v/>
      </c>
      <c r="W102" s="391" t="str">
        <f ca="1">IFERROR(IF($M102,IF(AND(career_stage="P",teacher_type="R"),INDEX(INDIRECT("RPS["&amp;W$10&amp;"]"),MATCH($H102,RPS[helper],0),1), IF(AND(career_stage="HP",teacher_type="R"), INDEX(INDIRECT("RHPS["&amp;W$10&amp;"]"),MATCH($H102,RHPS[helper],0),1), IF(AND(career_stage="P",teacher_type="TB"),INDEX(INDIRECT("TBPS["&amp;W$10&amp;"]"),MATCH($H102,TBPS[helper],0),1), IF(AND(career_stage="HP",teacher_type="TB"),INDEX(INDIRECT("TBHPS["&amp;W$10&amp;"]"),MATCH($H102,TBHPS[helper],0),1),"")))),""),"")</f>
        <v/>
      </c>
      <c r="X102" s="391" t="str">
        <f ca="1">IFERROR(IF($M102,IF(AND(career_stage="P",teacher_type="R"),INDEX(INDIRECT("RPS["&amp;X$10&amp;"]"),MATCH($H102,RPS[helper],0),1), IF(AND(career_stage="HP",teacher_type="R"), INDEX(INDIRECT("RHPS["&amp;X$10&amp;"]"),MATCH($H102,RHPS[helper],0),1), IF(AND(career_stage="P",teacher_type="TB"),INDEX(INDIRECT("TBPS["&amp;X$10&amp;"]"),MATCH($H102,TBPS[helper],0),1), IF(AND(career_stage="HP",teacher_type="TB"),INDEX(INDIRECT("TBHPS["&amp;X$10&amp;"]"),MATCH($H102,TBHPS[helper],0),1),"")))),""),"")</f>
        <v/>
      </c>
      <c r="Y102" s="391" t="str">
        <f ca="1">IFERROR(IF($M102,IF(AND(career_stage="P",teacher_type="R"),INDEX(INDIRECT("RPS["&amp;Y$10&amp;"]"),MATCH($H102,RPS[helper],0),1), IF(AND(career_stage="HP",teacher_type="R"), INDEX(INDIRECT("RHPS["&amp;Y$10&amp;"]"),MATCH($H102,RHPS[helper],0),1), IF(AND(career_stage="P",teacher_type="TB"),INDEX(INDIRECT("TBPS["&amp;Y$10&amp;"]"),MATCH($H102,TBPS[helper],0),1), IF(AND(career_stage="HP",teacher_type="TB"),INDEX(INDIRECT("TBHPS["&amp;Y$10&amp;"]"),MATCH($H102,TBHPS[helper],0),1),"")))),""),"")</f>
        <v/>
      </c>
      <c r="Z102" s="391" t="str">
        <f ca="1">IFERROR(IF($M102,IF(AND(career_stage="P",teacher_type="R"),INDEX(INDIRECT("RPS["&amp;Z$10&amp;"]"),MATCH($H102,RPS[helper],0),1), IF(AND(career_stage="HP",teacher_type="R"), INDEX(INDIRECT("RHPS["&amp;Z$10&amp;"]"),MATCH($H102,RHPS[helper],0),1), IF(AND(career_stage="P",teacher_type="TB"),INDEX(INDIRECT("TBPS["&amp;Z$10&amp;"]"),MATCH($H102,TBPS[helper],0),1), IF(AND(career_stage="HP",teacher_type="TB"),INDEX(INDIRECT("TBHPS["&amp;Z$10&amp;"]"),MATCH($H102,TBHPS[helper],0),1),"")))),""),"")</f>
        <v/>
      </c>
      <c r="AA102" s="392" t="str" cm="1">
        <f t="array" ref="AA102">IFERROR(INDEX(V102:Z102,6-AB102),"")</f>
        <v/>
      </c>
      <c r="AB102" s="680" t="str">
        <f>IF('Encoding Part 1'!AB52="","",'Encoding Part 1'!AB52)</f>
        <v/>
      </c>
      <c r="AC102" s="680" t="str">
        <f>IF('Encoding Part 1'!AC52="","",'Encoding Part 1'!AC52)</f>
        <v/>
      </c>
      <c r="AD102" s="680" t="str">
        <f>IF('Encoding Part 1'!AD52="","",'Encoding Part 1'!AD52)</f>
        <v/>
      </c>
      <c r="AE102" s="682">
        <f t="shared" ref="AE102" si="60">IFERROR(ROUNDDOWN(AVERAGE($AB102:$AD102),3),0)</f>
        <v>0</v>
      </c>
      <c r="AF102" s="661">
        <f t="shared" ref="AF102" si="61">ROUNDDOWN($AE102*$T102,3)</f>
        <v>0</v>
      </c>
      <c r="AG102" s="5"/>
    </row>
    <row r="103" spans="1:33" hidden="1" x14ac:dyDescent="0.25">
      <c r="A103" s="92">
        <v>31</v>
      </c>
      <c r="B103" s="99" t="str" cm="1">
        <f t="array" ref="B103">IFERROR(IF(AND(teacher_type="R",career_stage="P"),INDEX(RPI[Strand],$A103),IF(AND(teacher_type="R",career_stage="HP"),INDEX(RHPI[Strand],$A103), IF(AND(teacher_type="TB",career_stage="P"),INDEX(TBPI[Strand],$A103), IF(AND(teacher_type="TB",career_stage="HP"),INDEX(TBHPI[Strand],$A103),0)))),0)</f>
        <v>6.3.2</v>
      </c>
      <c r="C103" s="99">
        <f>IFERROR(IF(AND(teacher_type="R",career_stage="P"),VLOOKUP($B103,RPI[[Strand]:[Domain]],COLUMNS(RPI[[Strand]:[Domain]]),FALSE), IF(AND(teacher_type="R",career_stage="HP"),VLOOKUP($B103,RHPI[[Strand]:[Domain]],COLUMNS(RHPI[[Strand]:[Domain]]),FALSE), IF(AND(teacher_type="TB",career_stage="P"),VLOOKUP($B103,TBPI[[Strand]:[Domain]],COLUMNS(TBPI[[Strand]:[Domain]]),FALSE), IF(AND(teacher_type="TB",career_stage="HP"),VLOOKUP($B103,TBHPI[[Strand]:[Domain]],COLUMNS(TBHPI[[Strand]:[Domain]]),FALSE),"")))),"")</f>
        <v>6</v>
      </c>
      <c r="D103" s="99" t="b">
        <f>IFERROR(IF(AND(career_stage="P",teacher_type="R"),VLOOKUP(B103,RPI[],COLUMNS(RPI[[Strand]:[Selected]]),FALSE), IF(AND(career_stage="HP",teacher_type="R"),VLOOKUP(B103,RHPI[],COLUMNS(RHPI[[Strand]:[Selected]]),FALSE), IF(AND(career_stage="P",teacher_type="TB"),VLOOKUP(B103,TBPI[],COLUMNS(TBPI[[Strand]:[Selected]]),FALSE), IF(AND(career_stage="HP",teacher_type="TB"),VLOOKUP(B103,TBHPI[],COLUMNS(TBHPI[[Strand]:[Selected]]),FALSE),FALSE)))),FALSE)</f>
        <v>0</v>
      </c>
      <c r="E103" s="92" t="b">
        <f>COUNTIFS($C$12:$C103,C103,$D$12:$D103,TRUE)=1</f>
        <v>0</v>
      </c>
      <c r="F103" s="92" t="b">
        <f>COUNTIFS($C$12:$C103,$C103,$B$12:$B103,$B103,$D$12:$D103,TRUE)=1</f>
        <v>0</v>
      </c>
      <c r="G103" s="99">
        <f>IF($F103,COUNTIFS($C$12:$C103,C103,$F$12:$F103,TRUE),0)</f>
        <v>0</v>
      </c>
      <c r="H103" s="99" t="str">
        <f t="shared" si="43"/>
        <v>6.3.2-E</v>
      </c>
      <c r="I103" s="99">
        <f>IF(AND(D103,NOT($A103=$A102)),(COUNTIF($D$11:$D102,TRUE)/3)+1,0)</f>
        <v>0</v>
      </c>
      <c r="J103" s="99" t="s">
        <v>1073</v>
      </c>
      <c r="K103" s="99" t="b">
        <f>IF(AND(teacher_type="R",career_stage="P"),IF(AND(COUNTIFS(RPS[Strand],$B103,RPS[QET],$J103)&gt;0,$D103),TRUE,FALSE), IF(AND(teacher_type="R",career_stage="HP"),IF(AND(COUNTIFS(RHPS[Strand],$B103,RHPS[QET],$J103)&gt;0,$D103),TRUE,FALSE), IF(AND(teacher_type="TB",career_stage="P"),IF(AND(COUNTIFS(TBPS[Strand],$B103,TBPS[QET],$J103)&gt;0,$D103),TRUE,FALSE), IF(AND(teacher_type="TB",career_stage="HP"),IF(AND(COUNTIFS(TBHPS[Strand],$B103,TBHPS[QET],$J103)&gt;0,$D103),TRUE,FALSE),FALSE))))</f>
        <v>0</v>
      </c>
      <c r="L103" s="99" t="str">
        <f>IF($K103,IF(AND(teacher_type="R",career_stage="P"),VLOOKUP($B103,RPI[],COLUMNS(RPI[[Strand]:[user_selected_coi_ncoi]]),FALSE), IF(AND(teacher_type="R",career_stage="HP"),VLOOKUP($B103,RHPI[],COLUMNS(RHPI[[Strand]:[user_selected_coi_ncoi]]),FALSE), IF(AND(teacher_type="TB",career_stage="P"),VLOOKUP($B103,TBPI[],COLUMNS(TBPI[[Strand]:[user_selected_coi_ncoi]]),FALSE), IF(AND(teacher_type="TB",career_stage="HP"),VLOOKUP($B103,TBHPI[],COLUMNS(TBHPI[[Strand]:[user_selected_coi_ncoi]]),FALSE),"")))),"")</f>
        <v/>
      </c>
      <c r="M103" s="99" t="b">
        <f>IF(AND(teacher_type="R",career_stage="P"),IF(AND(COUNTIFS(RPS[Strand],$B103,RPS[QET],M$11)&gt;0,$D103),TRUE,FALSE),IF(AND(teacher_type="R",career_stage="HP"),IF(AND(COUNTIFS(RHPS[Strand],$B103,RHPS[QET],M$11)&gt;0,$D103),TRUE,FALSE), IF(AND(teacher_type="TB",career_stage="P"),IF(AND(COUNTIFS(TBPS[Strand],$B103,TBPS[QET],M$11)&gt;0,$D103),TRUE,FALSE), IF(AND(teacher_type="TB",career_stage="HP"),IF(AND(COUNTIFS(TBHPS[Strand],$B103,TBHPS[QET],M$11)&gt;0,$D103),TRUE,FALSE),FALSE))))</f>
        <v>0</v>
      </c>
      <c r="N103" s="99" t="b">
        <f>IF(AND(teacher_type="R",career_stage="P"),IF(AND(COUNTIFS(RPS[Strand],$B103,RPS[QET],N$11)&gt;0,$D103),TRUE,FALSE),IF(AND(teacher_type="R",career_stage="HP"),IF(AND(COUNTIFS(RHPS[Strand],$B103,RHPS[QET],N$11)&gt;0,$D103),TRUE,FALSE), IF(AND(teacher_type="TB",career_stage="P"),IF(AND(COUNTIFS(TBPS[Strand],$B103,TBPS[QET],N$11)&gt;0,$D103),TRUE,FALSE), IF(AND(teacher_type="TB",career_stage="HP"),IF(AND(COUNTIFS(TBHPS[Strand],$B103,TBHPS[QET],N$11)&gt;0,$D103),TRUE,FALSE),FALSE))))</f>
        <v>0</v>
      </c>
      <c r="O103" s="99" t="b">
        <f>IF(AND(teacher_type="R",career_stage="P"),IF(AND(COUNTIFS(RPS[Strand],$B103,RPS[QET],O$11)&gt;0,$D103),TRUE,FALSE),IF(AND(teacher_type="R",career_stage="HP"),IF(AND(COUNTIFS(RHPS[Strand],$B103,RHPS[QET],O$11)&gt;0,$D103),TRUE,FALSE), IF(AND(teacher_type="TB",career_stage="P"),IF(AND(COUNTIFS(TBPS[Strand],$B103,TBPS[QET],O$11)&gt;0,$D103),TRUE,FALSE), IF(AND(teacher_type="TB",career_stage="HP"),IF(AND(COUNTIFS(TBHPS[Strand],$B103,TBHPS[QET],O$11)&gt;0,$D103),TRUE,FALSE),FALSE))))</f>
        <v>0</v>
      </c>
      <c r="P103" s="710"/>
      <c r="Q103" s="662"/>
      <c r="R103" s="663"/>
      <c r="S103" s="664"/>
      <c r="T103" s="678"/>
      <c r="U103" s="94" t="s">
        <v>1186</v>
      </c>
      <c r="V103" s="391" t="str">
        <f ca="1">IFERROR(IF($N103,IF(AND(career_stage="P",teacher_type="R"),INDEX(INDIRECT("RPS["&amp;V$10&amp;"]"),MATCH($H103,RPS[helper],0),1), IF(AND(career_stage="HP",teacher_type="R"), INDEX(INDIRECT("RHPS["&amp;V$10&amp;"]"),MATCH($H103,RHPS[helper],0),1), IF(AND(career_stage="P",teacher_type="TB"),INDEX(INDIRECT("TBPS["&amp;V$10&amp;"]"),MATCH($H103,TBPS[helper],0),1), IF(AND(career_stage="HP",teacher_type="TB"),INDEX(INDIRECT("TBHPS["&amp;V$10&amp;"]"),MATCH($H103,TBHPS[helper],0),1),"")))),""),"")</f>
        <v/>
      </c>
      <c r="W103" s="391" t="str">
        <f ca="1">IFERROR(IF($N103,IF(AND(career_stage="P",teacher_type="R"),INDEX(INDIRECT("RPS["&amp;W$10&amp;"]"),MATCH($H103,RPS[helper],0),1), IF(AND(career_stage="HP",teacher_type="R"), INDEX(INDIRECT("RHPS["&amp;W$10&amp;"]"),MATCH($H103,RHPS[helper],0),1), IF(AND(career_stage="P",teacher_type="TB"),INDEX(INDIRECT("TBPS["&amp;W$10&amp;"]"),MATCH($H103,TBPS[helper],0),1), IF(AND(career_stage="HP",teacher_type="TB"),INDEX(INDIRECT("TBHPS["&amp;W$10&amp;"]"),MATCH($H103,TBHPS[helper],0),1),"")))),""),"")</f>
        <v/>
      </c>
      <c r="X103" s="391" t="str">
        <f ca="1">IFERROR(IF($N103,IF(AND(career_stage="P",teacher_type="R"),INDEX(INDIRECT("RPS["&amp;X$10&amp;"]"),MATCH($H103,RPS[helper],0),1), IF(AND(career_stage="HP",teacher_type="R"), INDEX(INDIRECT("RHPS["&amp;X$10&amp;"]"),MATCH($H103,RHPS[helper],0),1), IF(AND(career_stage="P",teacher_type="TB"),INDEX(INDIRECT("TBPS["&amp;X$10&amp;"]"),MATCH($H103,TBPS[helper],0),1), IF(AND(career_stage="HP",teacher_type="TB"),INDEX(INDIRECT("TBHPS["&amp;X$10&amp;"]"),MATCH($H103,TBHPS[helper],0),1),"")))),""),"")</f>
        <v/>
      </c>
      <c r="Y103" s="391" t="str">
        <f ca="1">IFERROR(IF($N103,IF(AND(career_stage="P",teacher_type="R"),INDEX(INDIRECT("RPS["&amp;Y$10&amp;"]"),MATCH($H103,RPS[helper],0),1), IF(AND(career_stage="HP",teacher_type="R"), INDEX(INDIRECT("RHPS["&amp;Y$10&amp;"]"),MATCH($H103,RHPS[helper],0),1), IF(AND(career_stage="P",teacher_type="TB"),INDEX(INDIRECT("TBPS["&amp;Y$10&amp;"]"),MATCH($H103,TBPS[helper],0),1), IF(AND(career_stage="HP",teacher_type="TB"),INDEX(INDIRECT("TBHPS["&amp;Y$10&amp;"]"),MATCH($H103,TBHPS[helper],0),1),"")))),""),"")</f>
        <v/>
      </c>
      <c r="Z103" s="391" t="str">
        <f ca="1">IFERROR(IF($N103,IF(AND(career_stage="P",teacher_type="R"),INDEX(INDIRECT("RPS["&amp;Z$10&amp;"]"),MATCH($H103,RPS[helper],0),1), IF(AND(career_stage="HP",teacher_type="R"), INDEX(INDIRECT("RHPS["&amp;Z$10&amp;"]"),MATCH($H103,RHPS[helper],0),1), IF(AND(career_stage="P",teacher_type="TB"),INDEX(INDIRECT("TBPS["&amp;Z$10&amp;"]"),MATCH($H103,TBPS[helper],0),1), IF(AND(career_stage="HP",teacher_type="TB"),INDEX(INDIRECT("TBHPS["&amp;Z$10&amp;"]"),MATCH($H103,TBHPS[helper],0),1),"")))),""),"")</f>
        <v/>
      </c>
      <c r="AA103" s="392" t="str" cm="1">
        <f t="array" ref="AA103">IFERROR(INDEX(V103:Z103,6-AC102),"")</f>
        <v/>
      </c>
      <c r="AB103" s="680"/>
      <c r="AC103" s="680"/>
      <c r="AD103" s="680"/>
      <c r="AE103" s="682"/>
      <c r="AF103" s="661"/>
      <c r="AG103" s="5"/>
    </row>
    <row r="104" spans="1:33" hidden="1" x14ac:dyDescent="0.25">
      <c r="A104" s="92">
        <v>31</v>
      </c>
      <c r="B104" s="99" t="str" cm="1">
        <f t="array" ref="B104">IFERROR(IF(AND(teacher_type="R",career_stage="P"),INDEX(RPI[Strand],$A104),IF(AND(teacher_type="R",career_stage="HP"),INDEX(RHPI[Strand],$A104), IF(AND(teacher_type="TB",career_stage="P"),INDEX(TBPI[Strand],$A104), IF(AND(teacher_type="TB",career_stage="HP"),INDEX(TBHPI[Strand],$A104),0)))),0)</f>
        <v>6.3.2</v>
      </c>
      <c r="C104" s="99">
        <f>IFERROR(IF(AND(teacher_type="R",career_stage="P"),VLOOKUP($B104,RPI[[Strand]:[Domain]],COLUMNS(RPI[[Strand]:[Domain]]),FALSE), IF(AND(teacher_type="R",career_stage="HP"),VLOOKUP($B104,RHPI[[Strand]:[Domain]],COLUMNS(RHPI[[Strand]:[Domain]]),FALSE), IF(AND(teacher_type="TB",career_stage="P"),VLOOKUP($B104,TBPI[[Strand]:[Domain]],COLUMNS(TBPI[[Strand]:[Domain]]),FALSE), IF(AND(teacher_type="TB",career_stage="HP"),VLOOKUP($B104,TBHPI[[Strand]:[Domain]],COLUMNS(TBHPI[[Strand]:[Domain]]),FALSE),"")))),"")</f>
        <v>6</v>
      </c>
      <c r="D104" s="99" t="b">
        <f>IFERROR(IF(AND(career_stage="P",teacher_type="R"),VLOOKUP(B104,RPI[],COLUMNS(RPI[[Strand]:[Selected]]),FALSE), IF(AND(career_stage="HP",teacher_type="R"),VLOOKUP(B104,RHPI[],COLUMNS(RHPI[[Strand]:[Selected]]),FALSE), IF(AND(career_stage="P",teacher_type="TB"),VLOOKUP(B104,TBPI[],COLUMNS(TBPI[[Strand]:[Selected]]),FALSE), IF(AND(career_stage="HP",teacher_type="TB"),VLOOKUP(B104,TBHPI[],COLUMNS(TBHPI[[Strand]:[Selected]]),FALSE),FALSE)))),FALSE)</f>
        <v>0</v>
      </c>
      <c r="E104" s="92" t="b">
        <f>COUNTIFS($C$12:$C104,C104,$D$12:$D104,TRUE)=1</f>
        <v>0</v>
      </c>
      <c r="F104" s="92" t="b">
        <f>COUNTIFS($C$12:$C104,$C104,$B$12:$B104,$B104,$D$12:$D104,TRUE)=1</f>
        <v>0</v>
      </c>
      <c r="G104" s="99">
        <f>IF($F104,COUNTIFS($C$12:$C104,C104,$F$12:$F104,TRUE),0)</f>
        <v>0</v>
      </c>
      <c r="H104" s="99" t="str">
        <f t="shared" si="43"/>
        <v>6.3.2-T</v>
      </c>
      <c r="I104" s="99">
        <f>IF(AND(D104,NOT($A104=$A103)),(COUNTIF($D$11:$D103,TRUE)/3)+1,0)</f>
        <v>0</v>
      </c>
      <c r="J104" s="99" t="s">
        <v>1014</v>
      </c>
      <c r="K104" s="99" t="b">
        <f>IF(AND(teacher_type="R",career_stage="P"),IF(AND(COUNTIFS(RPS[Strand],$B104,RPS[QET],$J104)&gt;0,$D104),TRUE,FALSE), IF(AND(teacher_type="R",career_stage="HP"),IF(AND(COUNTIFS(RHPS[Strand],$B104,RHPS[QET],$J104)&gt;0,$D104),TRUE,FALSE), IF(AND(teacher_type="TB",career_stage="P"),IF(AND(COUNTIFS(TBPS[Strand],$B104,TBPS[QET],$J104)&gt;0,$D104),TRUE,FALSE), IF(AND(teacher_type="TB",career_stage="HP"),IF(AND(COUNTIFS(TBHPS[Strand],$B104,TBHPS[QET],$J104)&gt;0,$D104),TRUE,FALSE),FALSE))))</f>
        <v>0</v>
      </c>
      <c r="L104" s="99" t="str">
        <f>IF($K104,IF(AND(teacher_type="R",career_stage="P"),VLOOKUP($B104,RPI[],COLUMNS(RPI[[Strand]:[user_selected_coi_ncoi]]),FALSE), IF(AND(teacher_type="R",career_stage="HP"),VLOOKUP($B104,RHPI[],COLUMNS(RHPI[[Strand]:[user_selected_coi_ncoi]]),FALSE), IF(AND(teacher_type="TB",career_stage="P"),VLOOKUP($B104,TBPI[],COLUMNS(TBPI[[Strand]:[user_selected_coi_ncoi]]),FALSE), IF(AND(teacher_type="TB",career_stage="HP"),VLOOKUP($B104,TBHPI[],COLUMNS(TBHPI[[Strand]:[user_selected_coi_ncoi]]),FALSE),"")))),"")</f>
        <v/>
      </c>
      <c r="M104" s="99" t="b">
        <f>IF(AND(teacher_type="R",career_stage="P"),IF(AND(COUNTIFS(RPS[Strand],$B104,RPS[QET],M$11)&gt;0,$D104),TRUE,FALSE),IF(AND(teacher_type="R",career_stage="HP"),IF(AND(COUNTIFS(RHPS[Strand],$B104,RHPS[QET],M$11)&gt;0,$D104),TRUE,FALSE), IF(AND(teacher_type="TB",career_stage="P"),IF(AND(COUNTIFS(TBPS[Strand],$B104,TBPS[QET],M$11)&gt;0,$D104),TRUE,FALSE), IF(AND(teacher_type="TB",career_stage="HP"),IF(AND(COUNTIFS(TBHPS[Strand],$B104,TBHPS[QET],M$11)&gt;0,$D104),TRUE,FALSE),FALSE))))</f>
        <v>0</v>
      </c>
      <c r="N104" s="99" t="b">
        <f>IF(AND(teacher_type="R",career_stage="P"),IF(AND(COUNTIFS(RPS[Strand],$B104,RPS[QET],N$11)&gt;0,$D104),TRUE,FALSE),IF(AND(teacher_type="R",career_stage="HP"),IF(AND(COUNTIFS(RHPS[Strand],$B104,RHPS[QET],N$11)&gt;0,$D104),TRUE,FALSE), IF(AND(teacher_type="TB",career_stage="P"),IF(AND(COUNTIFS(TBPS[Strand],$B104,TBPS[QET],N$11)&gt;0,$D104),TRUE,FALSE), IF(AND(teacher_type="TB",career_stage="HP"),IF(AND(COUNTIFS(TBHPS[Strand],$B104,TBHPS[QET],N$11)&gt;0,$D104),TRUE,FALSE),FALSE))))</f>
        <v>0</v>
      </c>
      <c r="O104" s="99" t="b">
        <f>IF(AND(teacher_type="R",career_stage="P"),IF(AND(COUNTIFS(RPS[Strand],$B104,RPS[QET],O$11)&gt;0,$D104),TRUE,FALSE),IF(AND(teacher_type="R",career_stage="HP"),IF(AND(COUNTIFS(RHPS[Strand],$B104,RHPS[QET],O$11)&gt;0,$D104),TRUE,FALSE), IF(AND(teacher_type="TB",career_stage="P"),IF(AND(COUNTIFS(TBPS[Strand],$B104,TBPS[QET],O$11)&gt;0,$D104),TRUE,FALSE), IF(AND(teacher_type="TB",career_stage="HP"),IF(AND(COUNTIFS(TBHPS[Strand],$B104,TBHPS[QET],O$11)&gt;0,$D104),TRUE,FALSE),FALSE))))</f>
        <v>0</v>
      </c>
      <c r="P104" s="710"/>
      <c r="Q104" s="662"/>
      <c r="R104" s="663"/>
      <c r="S104" s="664"/>
      <c r="T104" s="678"/>
      <c r="U104" s="94" t="s">
        <v>1187</v>
      </c>
      <c r="V104" s="391" t="str">
        <f ca="1">IFERROR(IF($O104,IF(AND(career_stage="P",teacher_type="R"),INDEX(INDIRECT("RPS["&amp;V$10&amp;"]"),MATCH($H104,RPS[helper],0),1), IF(AND(career_stage="HP",teacher_type="R"), INDEX(INDIRECT("RHPS["&amp;V$10&amp;"]"),MATCH($H104,RHPS[helper],0),1), IF(AND(career_stage="P",teacher_type="TB"),INDEX(INDIRECT("TBPS["&amp;V$10&amp;"]"),MATCH($H104,TBPS[helper],0),1), IF(AND(career_stage="HP",teacher_type="TB"),INDEX(INDIRECT("TBHPS["&amp;V$10&amp;"]"),MATCH($H104,TBHPS[helper],0),1),"")))),""),"")</f>
        <v/>
      </c>
      <c r="W104" s="391" t="str">
        <f ca="1">IFERROR(IF($O104,IF(AND(career_stage="P",teacher_type="R"),INDEX(INDIRECT("RPS["&amp;W$10&amp;"]"),MATCH($H104,RPS[helper],0),1), IF(AND(career_stage="HP",teacher_type="R"), INDEX(INDIRECT("RHPS["&amp;W$10&amp;"]"),MATCH($H104,RHPS[helper],0),1), IF(AND(career_stage="P",teacher_type="TB"),INDEX(INDIRECT("TBPS["&amp;W$10&amp;"]"),MATCH($H104,TBPS[helper],0),1), IF(AND(career_stage="HP",teacher_type="TB"),INDEX(INDIRECT("TBHPS["&amp;W$10&amp;"]"),MATCH($H104,TBHPS[helper],0),1),"")))),""),"")</f>
        <v/>
      </c>
      <c r="X104" s="391" t="str">
        <f ca="1">IFERROR(IF($O104,IF(AND(career_stage="P",teacher_type="R"),INDEX(INDIRECT("RPS["&amp;X$10&amp;"]"),MATCH($H104,RPS[helper],0),1), IF(AND(career_stage="HP",teacher_type="R"), INDEX(INDIRECT("RHPS["&amp;X$10&amp;"]"),MATCH($H104,RHPS[helper],0),1), IF(AND(career_stage="P",teacher_type="TB"),INDEX(INDIRECT("TBPS["&amp;X$10&amp;"]"),MATCH($H104,TBPS[helper],0),1), IF(AND(career_stage="HP",teacher_type="TB"),INDEX(INDIRECT("TBHPS["&amp;X$10&amp;"]"),MATCH($H104,TBHPS[helper],0),1),"")))),""),"")</f>
        <v/>
      </c>
      <c r="Y104" s="391" t="str">
        <f ca="1">IFERROR(IF($O104,IF(AND(career_stage="P",teacher_type="R"),INDEX(INDIRECT("RPS["&amp;Y$10&amp;"]"),MATCH($H104,RPS[helper],0),1), IF(AND(career_stage="HP",teacher_type="R"), INDEX(INDIRECT("RHPS["&amp;Y$10&amp;"]"),MATCH($H104,RHPS[helper],0),1), IF(AND(career_stage="P",teacher_type="TB"),INDEX(INDIRECT("TBPS["&amp;Y$10&amp;"]"),MATCH($H104,TBPS[helper],0),1), IF(AND(career_stage="HP",teacher_type="TB"),INDEX(INDIRECT("TBHPS["&amp;Y$10&amp;"]"),MATCH($H104,TBHPS[helper],0),1),"")))),""),"")</f>
        <v/>
      </c>
      <c r="Z104" s="391" t="str">
        <f ca="1">IFERROR(IF($O104,IF(AND(career_stage="P",teacher_type="R"),INDEX(INDIRECT("RPS["&amp;Z$10&amp;"]"),MATCH($H104,RPS[helper],0),1), IF(AND(career_stage="HP",teacher_type="R"), INDEX(INDIRECT("RHPS["&amp;Z$10&amp;"]"),MATCH($H104,RHPS[helper],0),1), IF(AND(career_stage="P",teacher_type="TB"),INDEX(INDIRECT("TBPS["&amp;Z$10&amp;"]"),MATCH($H104,TBPS[helper],0),1), IF(AND(career_stage="HP",teacher_type="TB"),INDEX(INDIRECT("TBHPS["&amp;Z$10&amp;"]"),MATCH($H104,TBHPS[helper],0),1),"")))),""),"")</f>
        <v/>
      </c>
      <c r="AA104" s="391" t="str" cm="1">
        <f t="array" ref="AA104">IFERROR(INDEX(V104:Z104,6-AD102),"")</f>
        <v/>
      </c>
      <c r="AB104" s="680"/>
      <c r="AC104" s="680"/>
      <c r="AD104" s="680"/>
      <c r="AE104" s="682"/>
      <c r="AF104" s="661"/>
      <c r="AG104" s="5"/>
    </row>
    <row r="105" spans="1:33" hidden="1" x14ac:dyDescent="0.25">
      <c r="A105" s="92">
        <v>32</v>
      </c>
      <c r="B105" s="99" t="str" cm="1">
        <f t="array" ref="B105">IFERROR(IF(AND(teacher_type="R",career_stage="P"),INDEX(RPI[Strand],$A105),IF(AND(teacher_type="R",career_stage="HP"),INDEX(RHPI[Strand],$A105), IF(AND(teacher_type="TB",career_stage="P"),INDEX(TBPI[Strand],$A105), IF(AND(teacher_type="TB",career_stage="HP"),INDEX(TBHPI[Strand],$A105),0)))),0)</f>
        <v>6.4.2</v>
      </c>
      <c r="C105" s="99">
        <f>IFERROR(IF(AND(teacher_type="R",career_stage="P"),VLOOKUP($B105,RPI[[Strand]:[Domain]],COLUMNS(RPI[[Strand]:[Domain]]),FALSE), IF(AND(teacher_type="R",career_stage="HP"),VLOOKUP($B105,RHPI[[Strand]:[Domain]],COLUMNS(RHPI[[Strand]:[Domain]]),FALSE), IF(AND(teacher_type="TB",career_stage="P"),VLOOKUP($B105,TBPI[[Strand]:[Domain]],COLUMNS(TBPI[[Strand]:[Domain]]),FALSE), IF(AND(teacher_type="TB",career_stage="HP"),VLOOKUP($B105,TBHPI[[Strand]:[Domain]],COLUMNS(TBHPI[[Strand]:[Domain]]),FALSE),"")))),"")</f>
        <v>6</v>
      </c>
      <c r="D105" s="99" t="b">
        <f>IFERROR(IF(AND(career_stage="P",teacher_type="R"),VLOOKUP(B105,RPI[],COLUMNS(RPI[[Strand]:[Selected]]),FALSE), IF(AND(career_stage="HP",teacher_type="R"),VLOOKUP(B105,RHPI[],COLUMNS(RHPI[[Strand]:[Selected]]),FALSE), IF(AND(career_stage="P",teacher_type="TB"),VLOOKUP(B105,TBPI[],COLUMNS(TBPI[[Strand]:[Selected]]),FALSE), IF(AND(career_stage="HP",teacher_type="TB"),VLOOKUP(B105,TBHPI[],COLUMNS(TBHPI[[Strand]:[Selected]]),FALSE),FALSE)))),FALSE)</f>
        <v>0</v>
      </c>
      <c r="E105" s="92" t="b">
        <f>COUNTIFS($C$12:$C105,C105,$D$12:$D105,TRUE)=1</f>
        <v>0</v>
      </c>
      <c r="F105" s="92" t="b">
        <f>COUNTIFS($C$12:$C105,$C105,$B$12:$B105,$B105,$D$12:$D105,TRUE)=1</f>
        <v>0</v>
      </c>
      <c r="G105" s="99">
        <f>IF($F105,COUNTIFS($C$12:$C105,C105,$F$12:$F105,TRUE),0)</f>
        <v>0</v>
      </c>
      <c r="H105" s="99" t="str">
        <f t="shared" si="43"/>
        <v>6.4.2-Q</v>
      </c>
      <c r="I105" s="99">
        <f>IF(AND(D105,NOT($A105=$A104)),(COUNTIF($D$11:$D104,TRUE)/3)+1,0)</f>
        <v>0</v>
      </c>
      <c r="J105" s="99" t="s">
        <v>1012</v>
      </c>
      <c r="K105" s="99" t="b">
        <f>IF(AND(teacher_type="R",career_stage="P"),IF(AND(COUNTIFS(RPS[Strand],$B105,RPS[QET],$J105)&gt;0,$D105),TRUE,FALSE), IF(AND(teacher_type="R",career_stage="HP"),IF(AND(COUNTIFS(RHPS[Strand],$B105,RHPS[QET],$J105)&gt;0,$D105),TRUE,FALSE), IF(AND(teacher_type="TB",career_stage="P"),IF(AND(COUNTIFS(TBPS[Strand],$B105,TBPS[QET],$J105)&gt;0,$D105),TRUE,FALSE), IF(AND(teacher_type="TB",career_stage="HP"),IF(AND(COUNTIFS(TBHPS[Strand],$B105,TBHPS[QET],$J105)&gt;0,$D105),TRUE,FALSE),FALSE))))</f>
        <v>0</v>
      </c>
      <c r="L105" s="99" t="str">
        <f>IF($K105,IF(AND(teacher_type="R",career_stage="P"),VLOOKUP($B105,RPI[],COLUMNS(RPI[[Strand]:[user_selected_coi_ncoi]]),FALSE), IF(AND(teacher_type="R",career_stage="HP"),VLOOKUP($B105,RHPI[],COLUMNS(RHPI[[Strand]:[user_selected_coi_ncoi]]),FALSE), IF(AND(teacher_type="TB",career_stage="P"),VLOOKUP($B105,TBPI[],COLUMNS(TBPI[[Strand]:[user_selected_coi_ncoi]]),FALSE), IF(AND(teacher_type="TB",career_stage="HP"),VLOOKUP($B105,TBHPI[],COLUMNS(TBHPI[[Strand]:[user_selected_coi_ncoi]]),FALSE),"")))),"")</f>
        <v/>
      </c>
      <c r="M105" s="99" t="b">
        <f>IF(AND(teacher_type="R",career_stage="P"),IF(AND(COUNTIFS(RPS[Strand],$B105,RPS[QET],M$11)&gt;0,$D105),TRUE,FALSE),IF(AND(teacher_type="R",career_stage="HP"),IF(AND(COUNTIFS(RHPS[Strand],$B105,RHPS[QET],M$11)&gt;0,$D105),TRUE,FALSE), IF(AND(teacher_type="TB",career_stage="P"),IF(AND(COUNTIFS(TBPS[Strand],$B105,TBPS[QET],M$11)&gt;0,$D105),TRUE,FALSE), IF(AND(teacher_type="TB",career_stage="HP"),IF(AND(COUNTIFS(TBHPS[Strand],$B105,TBHPS[QET],M$11)&gt;0,$D105),TRUE,FALSE),FALSE))))</f>
        <v>0</v>
      </c>
      <c r="N105" s="99" t="b">
        <f>IF(AND(teacher_type="R",career_stage="P"),IF(AND(COUNTIFS(RPS[Strand],$B105,RPS[QET],N$11)&gt;0,$D105),TRUE,FALSE),IF(AND(teacher_type="R",career_stage="HP"),IF(AND(COUNTIFS(RHPS[Strand],$B105,RHPS[QET],N$11)&gt;0,$D105),TRUE,FALSE), IF(AND(teacher_type="TB",career_stage="P"),IF(AND(COUNTIFS(TBPS[Strand],$B105,TBPS[QET],N$11)&gt;0,$D105),TRUE,FALSE), IF(AND(teacher_type="TB",career_stage="HP"),IF(AND(COUNTIFS(TBHPS[Strand],$B105,TBHPS[QET],N$11)&gt;0,$D105),TRUE,FALSE),FALSE))))</f>
        <v>0</v>
      </c>
      <c r="O105" s="99" t="b">
        <f>IF(AND(teacher_type="R",career_stage="P"),IF(AND(COUNTIFS(RPS[Strand],$B105,RPS[QET],O$11)&gt;0,$D105),TRUE,FALSE),IF(AND(teacher_type="R",career_stage="HP"),IF(AND(COUNTIFS(RHPS[Strand],$B105,RHPS[QET],O$11)&gt;0,$D105),TRUE,FALSE), IF(AND(teacher_type="TB",career_stage="P"),IF(AND(COUNTIFS(TBPS[Strand],$B105,TBPS[QET],O$11)&gt;0,$D105),TRUE,FALSE), IF(AND(teacher_type="TB",career_stage="HP"),IF(AND(COUNTIFS(TBHPS[Strand],$B105,TBHPS[QET],O$11)&gt;0,$D105),TRUE,FALSE),FALSE))))</f>
        <v>0</v>
      </c>
      <c r="P105" s="710"/>
      <c r="Q105" s="662" t="str">
        <f>IFERROR(IF(E105,IF(C105="Plus Factor","Plus Factor",C105 &amp; ". " &amp; INDEX(Domains[Domain],MATCH(C105,Domains[Domain_code],0),1)),""),"")</f>
        <v/>
      </c>
      <c r="R105" s="663" t="str">
        <f>IFERROR(IF($F105,$I105 &amp; ". " &amp; IF(AND(career_stage="P",teacher_type="R"), INDEX(RPI[PPST Indicators],MATCH($B105,RPI[Strand],0),1), IF(AND(career_stage="HP",teacher_type="R"),INDEX(RHPI[PPST Indicators],MATCH($B105,RHPI[Strand],0),1), IF(AND(career_stage="P",teacher_type="TB"),INDEX(TBPI[PPST Indicators],MATCH($B105,TBPI[Strand],0),1), IF(AND(career_stage="HP",teacher_type="TB"),INDEX(TBHPI[PPST Indicators],MATCH($B105,TBHPI[Strand],0),1),"")))) &amp; IF(NOT(TRIM(LOWER($C105))="plus factor")," (PPST "&amp;B105&amp;")",""),""),"")</f>
        <v/>
      </c>
      <c r="S105" s="664" t="str" cm="1">
        <f t="array" ref="S105">demographics[rating_period]</f>
        <v>SY 2023-2024</v>
      </c>
      <c r="T105" s="678">
        <f>IFERROR(IF(AND(career_stage="P",teacher_type="R"),VLOOKUP(B105,RPI[],COLUMNS(RPI[[Strand]:[Weight]]),FALSE), IF(AND(career_stage="HP",teacher_type="R"),VLOOKUP(B105,RHPI[],COLUMNS(RHPI[[Strand]:[Weight]]),FALSE), IF(AND(career_stage="P",teacher_type="TB"),VLOOKUP(B105,TBPI[],COLUMNS(TBPI[[Strand]:[Weight]]),FALSE), IF(AND(career_stage="HP",teacher_type="TB"),VLOOKUP(B105,TBHPI[],COLUMNS(TBHPI[[Strand]:[Weight]]),FALSE),0)))),0)</f>
        <v>0</v>
      </c>
      <c r="U105" s="94" t="s">
        <v>1185</v>
      </c>
      <c r="V105" s="391" t="str">
        <f ca="1">IFERROR(IF($M105,IF(AND(career_stage="P",teacher_type="R"),INDEX(INDIRECT("RPS["&amp;V$10&amp;"]"),MATCH($H105,RPS[helper],0),1), IF(AND(career_stage="HP",teacher_type="R"), INDEX(INDIRECT("RHPS["&amp;V$10&amp;"]"),MATCH($H105,RHPS[helper],0),1), IF(AND(career_stage="P",teacher_type="TB"),INDEX(INDIRECT("TBPS["&amp;V$10&amp;"]"),MATCH($H105,TBPS[helper],0),1), IF(AND(career_stage="HP",teacher_type="TB"),INDEX(INDIRECT("TBHPS["&amp;V$10&amp;"]"),MATCH($H105,TBHPS[helper],0),1),"")))),""),"")</f>
        <v/>
      </c>
      <c r="W105" s="391" t="str">
        <f ca="1">IFERROR(IF($M105,IF(AND(career_stage="P",teacher_type="R"),INDEX(INDIRECT("RPS["&amp;W$10&amp;"]"),MATCH($H105,RPS[helper],0),1), IF(AND(career_stage="HP",teacher_type="R"), INDEX(INDIRECT("RHPS["&amp;W$10&amp;"]"),MATCH($H105,RHPS[helper],0),1), IF(AND(career_stage="P",teacher_type="TB"),INDEX(INDIRECT("TBPS["&amp;W$10&amp;"]"),MATCH($H105,TBPS[helper],0),1), IF(AND(career_stage="HP",teacher_type="TB"),INDEX(INDIRECT("TBHPS["&amp;W$10&amp;"]"),MATCH($H105,TBHPS[helper],0),1),"")))),""),"")</f>
        <v/>
      </c>
      <c r="X105" s="391" t="str">
        <f ca="1">IFERROR(IF($M105,IF(AND(career_stage="P",teacher_type="R"),INDEX(INDIRECT("RPS["&amp;X$10&amp;"]"),MATCH($H105,RPS[helper],0),1), IF(AND(career_stage="HP",teacher_type="R"), INDEX(INDIRECT("RHPS["&amp;X$10&amp;"]"),MATCH($H105,RHPS[helper],0),1), IF(AND(career_stage="P",teacher_type="TB"),INDEX(INDIRECT("TBPS["&amp;X$10&amp;"]"),MATCH($H105,TBPS[helper],0),1), IF(AND(career_stage="HP",teacher_type="TB"),INDEX(INDIRECT("TBHPS["&amp;X$10&amp;"]"),MATCH($H105,TBHPS[helper],0),1),"")))),""),"")</f>
        <v/>
      </c>
      <c r="Y105" s="391" t="str">
        <f ca="1">IFERROR(IF($M105,IF(AND(career_stage="P",teacher_type="R"),INDEX(INDIRECT("RPS["&amp;Y$10&amp;"]"),MATCH($H105,RPS[helper],0),1), IF(AND(career_stage="HP",teacher_type="R"), INDEX(INDIRECT("RHPS["&amp;Y$10&amp;"]"),MATCH($H105,RHPS[helper],0),1), IF(AND(career_stage="P",teacher_type="TB"),INDEX(INDIRECT("TBPS["&amp;Y$10&amp;"]"),MATCH($H105,TBPS[helper],0),1), IF(AND(career_stage="HP",teacher_type="TB"),INDEX(INDIRECT("TBHPS["&amp;Y$10&amp;"]"),MATCH($H105,TBHPS[helper],0),1),"")))),""),"")</f>
        <v/>
      </c>
      <c r="Z105" s="391" t="str">
        <f ca="1">IFERROR(IF($M105,IF(AND(career_stage="P",teacher_type="R"),INDEX(INDIRECT("RPS["&amp;Z$10&amp;"]"),MATCH($H105,RPS[helper],0),1), IF(AND(career_stage="HP",teacher_type="R"), INDEX(INDIRECT("RHPS["&amp;Z$10&amp;"]"),MATCH($H105,RHPS[helper],0),1), IF(AND(career_stage="P",teacher_type="TB"),INDEX(INDIRECT("TBPS["&amp;Z$10&amp;"]"),MATCH($H105,TBPS[helper],0),1), IF(AND(career_stage="HP",teacher_type="TB"),INDEX(INDIRECT("TBHPS["&amp;Z$10&amp;"]"),MATCH($H105,TBHPS[helper],0),1),"")))),""),"")</f>
        <v/>
      </c>
      <c r="AA105" s="392" t="str" cm="1">
        <f t="array" ref="AA105">IFERROR(INDEX(V105:Z105,6-AB105),"")</f>
        <v/>
      </c>
      <c r="AB105" s="680" t="str">
        <f>IF('Encoding Part 1'!AB53="","",'Encoding Part 1'!AB53)</f>
        <v/>
      </c>
      <c r="AC105" s="680" t="str">
        <f>IF('Encoding Part 1'!AC53="","",'Encoding Part 1'!AC53)</f>
        <v/>
      </c>
      <c r="AD105" s="680" t="str">
        <f>IF('Encoding Part 1'!AD53="","",'Encoding Part 1'!AD53)</f>
        <v/>
      </c>
      <c r="AE105" s="682">
        <f t="shared" ref="AE105" si="62">IFERROR(ROUNDDOWN(AVERAGE($AB105:$AD105),3),0)</f>
        <v>0</v>
      </c>
      <c r="AF105" s="661">
        <f t="shared" ref="AF105" si="63">ROUNDDOWN($AE105*$T105,3)</f>
        <v>0</v>
      </c>
      <c r="AG105" s="5"/>
    </row>
    <row r="106" spans="1:33" hidden="1" x14ac:dyDescent="0.25">
      <c r="A106" s="92">
        <v>32</v>
      </c>
      <c r="B106" s="99" t="str" cm="1">
        <f t="array" ref="B106">IFERROR(IF(AND(teacher_type="R",career_stage="P"),INDEX(RPI[Strand],$A106),IF(AND(teacher_type="R",career_stage="HP"),INDEX(RHPI[Strand],$A106), IF(AND(teacher_type="TB",career_stage="P"),INDEX(TBPI[Strand],$A106), IF(AND(teacher_type="TB",career_stage="HP"),INDEX(TBHPI[Strand],$A106),0)))),0)</f>
        <v>6.4.2</v>
      </c>
      <c r="C106" s="99">
        <f>IFERROR(IF(AND(teacher_type="R",career_stage="P"),VLOOKUP($B106,RPI[[Strand]:[Domain]],COLUMNS(RPI[[Strand]:[Domain]]),FALSE), IF(AND(teacher_type="R",career_stage="HP"),VLOOKUP($B106,RHPI[[Strand]:[Domain]],COLUMNS(RHPI[[Strand]:[Domain]]),FALSE), IF(AND(teacher_type="TB",career_stage="P"),VLOOKUP($B106,TBPI[[Strand]:[Domain]],COLUMNS(TBPI[[Strand]:[Domain]]),FALSE), IF(AND(teacher_type="TB",career_stage="HP"),VLOOKUP($B106,TBHPI[[Strand]:[Domain]],COLUMNS(TBHPI[[Strand]:[Domain]]),FALSE),"")))),"")</f>
        <v>6</v>
      </c>
      <c r="D106" s="99" t="b">
        <f>IFERROR(IF(AND(career_stage="P",teacher_type="R"),VLOOKUP(B106,RPI[],COLUMNS(RPI[[Strand]:[Selected]]),FALSE), IF(AND(career_stage="HP",teacher_type="R"),VLOOKUP(B106,RHPI[],COLUMNS(RHPI[[Strand]:[Selected]]),FALSE), IF(AND(career_stage="P",teacher_type="TB"),VLOOKUP(B106,TBPI[],COLUMNS(TBPI[[Strand]:[Selected]]),FALSE), IF(AND(career_stage="HP",teacher_type="TB"),VLOOKUP(B106,TBHPI[],COLUMNS(TBHPI[[Strand]:[Selected]]),FALSE),FALSE)))),FALSE)</f>
        <v>0</v>
      </c>
      <c r="E106" s="92" t="b">
        <f>COUNTIFS($C$12:$C106,C106,$D$12:$D106,TRUE)=1</f>
        <v>0</v>
      </c>
      <c r="F106" s="92" t="b">
        <f>COUNTIFS($C$12:$C106,$C106,$B$12:$B106,$B106,$D$12:$D106,TRUE)=1</f>
        <v>0</v>
      </c>
      <c r="G106" s="99">
        <f>IF($F106,COUNTIFS($C$12:$C106,C106,$F$12:$F106,TRUE),0)</f>
        <v>0</v>
      </c>
      <c r="H106" s="99" t="str">
        <f t="shared" si="43"/>
        <v>6.4.2-E</v>
      </c>
      <c r="I106" s="99">
        <f>IF(AND(D106,NOT($A106=$A105)),(COUNTIF($D$11:$D105,TRUE)/3)+1,0)</f>
        <v>0</v>
      </c>
      <c r="J106" s="99" t="s">
        <v>1073</v>
      </c>
      <c r="K106" s="99" t="b">
        <f>IF(AND(teacher_type="R",career_stage="P"),IF(AND(COUNTIFS(RPS[Strand],$B106,RPS[QET],$J106)&gt;0,$D106),TRUE,FALSE), IF(AND(teacher_type="R",career_stage="HP"),IF(AND(COUNTIFS(RHPS[Strand],$B106,RHPS[QET],$J106)&gt;0,$D106),TRUE,FALSE), IF(AND(teacher_type="TB",career_stage="P"),IF(AND(COUNTIFS(TBPS[Strand],$B106,TBPS[QET],$J106)&gt;0,$D106),TRUE,FALSE), IF(AND(teacher_type="TB",career_stage="HP"),IF(AND(COUNTIFS(TBHPS[Strand],$B106,TBHPS[QET],$J106)&gt;0,$D106),TRUE,FALSE),FALSE))))</f>
        <v>0</v>
      </c>
      <c r="L106" s="99" t="str">
        <f>IF($K106,IF(AND(teacher_type="R",career_stage="P"),VLOOKUP($B106,RPI[],COLUMNS(RPI[[Strand]:[user_selected_coi_ncoi]]),FALSE), IF(AND(teacher_type="R",career_stage="HP"),VLOOKUP($B106,RHPI[],COLUMNS(RHPI[[Strand]:[user_selected_coi_ncoi]]),FALSE), IF(AND(teacher_type="TB",career_stage="P"),VLOOKUP($B106,TBPI[],COLUMNS(TBPI[[Strand]:[user_selected_coi_ncoi]]),FALSE), IF(AND(teacher_type="TB",career_stage="HP"),VLOOKUP($B106,TBHPI[],COLUMNS(TBHPI[[Strand]:[user_selected_coi_ncoi]]),FALSE),"")))),"")</f>
        <v/>
      </c>
      <c r="M106" s="99" t="b">
        <f>IF(AND(teacher_type="R",career_stage="P"),IF(AND(COUNTIFS(RPS[Strand],$B106,RPS[QET],M$11)&gt;0,$D106),TRUE,FALSE),IF(AND(teacher_type="R",career_stage="HP"),IF(AND(COUNTIFS(RHPS[Strand],$B106,RHPS[QET],M$11)&gt;0,$D106),TRUE,FALSE), IF(AND(teacher_type="TB",career_stage="P"),IF(AND(COUNTIFS(TBPS[Strand],$B106,TBPS[QET],M$11)&gt;0,$D106),TRUE,FALSE), IF(AND(teacher_type="TB",career_stage="HP"),IF(AND(COUNTIFS(TBHPS[Strand],$B106,TBHPS[QET],M$11)&gt;0,$D106),TRUE,FALSE),FALSE))))</f>
        <v>0</v>
      </c>
      <c r="N106" s="99" t="b">
        <f>IF(AND(teacher_type="R",career_stage="P"),IF(AND(COUNTIFS(RPS[Strand],$B106,RPS[QET],N$11)&gt;0,$D106),TRUE,FALSE),IF(AND(teacher_type="R",career_stage="HP"),IF(AND(COUNTIFS(RHPS[Strand],$B106,RHPS[QET],N$11)&gt;0,$D106),TRUE,FALSE), IF(AND(teacher_type="TB",career_stage="P"),IF(AND(COUNTIFS(TBPS[Strand],$B106,TBPS[QET],N$11)&gt;0,$D106),TRUE,FALSE), IF(AND(teacher_type="TB",career_stage="HP"),IF(AND(COUNTIFS(TBHPS[Strand],$B106,TBHPS[QET],N$11)&gt;0,$D106),TRUE,FALSE),FALSE))))</f>
        <v>0</v>
      </c>
      <c r="O106" s="99" t="b">
        <f>IF(AND(teacher_type="R",career_stage="P"),IF(AND(COUNTIFS(RPS[Strand],$B106,RPS[QET],O$11)&gt;0,$D106),TRUE,FALSE),IF(AND(teacher_type="R",career_stage="HP"),IF(AND(COUNTIFS(RHPS[Strand],$B106,RHPS[QET],O$11)&gt;0,$D106),TRUE,FALSE), IF(AND(teacher_type="TB",career_stage="P"),IF(AND(COUNTIFS(TBPS[Strand],$B106,TBPS[QET],O$11)&gt;0,$D106),TRUE,FALSE), IF(AND(teacher_type="TB",career_stage="HP"),IF(AND(COUNTIFS(TBHPS[Strand],$B106,TBHPS[QET],O$11)&gt;0,$D106),TRUE,FALSE),FALSE))))</f>
        <v>0</v>
      </c>
      <c r="P106" s="710"/>
      <c r="Q106" s="662"/>
      <c r="R106" s="663"/>
      <c r="S106" s="664"/>
      <c r="T106" s="678"/>
      <c r="U106" s="94" t="s">
        <v>1186</v>
      </c>
      <c r="V106" s="391" t="str">
        <f ca="1">IFERROR(IF($N106,IF(AND(career_stage="P",teacher_type="R"),INDEX(INDIRECT("RPS["&amp;V$10&amp;"]"),MATCH($H106,RPS[helper],0),1), IF(AND(career_stage="HP",teacher_type="R"), INDEX(INDIRECT("RHPS["&amp;V$10&amp;"]"),MATCH($H106,RHPS[helper],0),1), IF(AND(career_stage="P",teacher_type="TB"),INDEX(INDIRECT("TBPS["&amp;V$10&amp;"]"),MATCH($H106,TBPS[helper],0),1), IF(AND(career_stage="HP",teacher_type="TB"),INDEX(INDIRECT("TBHPS["&amp;V$10&amp;"]"),MATCH($H106,TBHPS[helper],0),1),"")))),""),"")</f>
        <v/>
      </c>
      <c r="W106" s="391" t="str">
        <f ca="1">IFERROR(IF($N106,IF(AND(career_stage="P",teacher_type="R"),INDEX(INDIRECT("RPS["&amp;W$10&amp;"]"),MATCH($H106,RPS[helper],0),1), IF(AND(career_stage="HP",teacher_type="R"), INDEX(INDIRECT("RHPS["&amp;W$10&amp;"]"),MATCH($H106,RHPS[helper],0),1), IF(AND(career_stage="P",teacher_type="TB"),INDEX(INDIRECT("TBPS["&amp;W$10&amp;"]"),MATCH($H106,TBPS[helper],0),1), IF(AND(career_stage="HP",teacher_type="TB"),INDEX(INDIRECT("TBHPS["&amp;W$10&amp;"]"),MATCH($H106,TBHPS[helper],0),1),"")))),""),"")</f>
        <v/>
      </c>
      <c r="X106" s="391" t="str">
        <f ca="1">IFERROR(IF($N106,IF(AND(career_stage="P",teacher_type="R"),INDEX(INDIRECT("RPS["&amp;X$10&amp;"]"),MATCH($H106,RPS[helper],0),1), IF(AND(career_stage="HP",teacher_type="R"), INDEX(INDIRECT("RHPS["&amp;X$10&amp;"]"),MATCH($H106,RHPS[helper],0),1), IF(AND(career_stage="P",teacher_type="TB"),INDEX(INDIRECT("TBPS["&amp;X$10&amp;"]"),MATCH($H106,TBPS[helper],0),1), IF(AND(career_stage="HP",teacher_type="TB"),INDEX(INDIRECT("TBHPS["&amp;X$10&amp;"]"),MATCH($H106,TBHPS[helper],0),1),"")))),""),"")</f>
        <v/>
      </c>
      <c r="Y106" s="391" t="str">
        <f ca="1">IFERROR(IF($N106,IF(AND(career_stage="P",teacher_type="R"),INDEX(INDIRECT("RPS["&amp;Y$10&amp;"]"),MATCH($H106,RPS[helper],0),1), IF(AND(career_stage="HP",teacher_type="R"), INDEX(INDIRECT("RHPS["&amp;Y$10&amp;"]"),MATCH($H106,RHPS[helper],0),1), IF(AND(career_stage="P",teacher_type="TB"),INDEX(INDIRECT("TBPS["&amp;Y$10&amp;"]"),MATCH($H106,TBPS[helper],0),1), IF(AND(career_stage="HP",teacher_type="TB"),INDEX(INDIRECT("TBHPS["&amp;Y$10&amp;"]"),MATCH($H106,TBHPS[helper],0),1),"")))),""),"")</f>
        <v/>
      </c>
      <c r="Z106" s="391" t="str">
        <f ca="1">IFERROR(IF($N106,IF(AND(career_stage="P",teacher_type="R"),INDEX(INDIRECT("RPS["&amp;Z$10&amp;"]"),MATCH($H106,RPS[helper],0),1), IF(AND(career_stage="HP",teacher_type="R"), INDEX(INDIRECT("RHPS["&amp;Z$10&amp;"]"),MATCH($H106,RHPS[helper],0),1), IF(AND(career_stage="P",teacher_type="TB"),INDEX(INDIRECT("TBPS["&amp;Z$10&amp;"]"),MATCH($H106,TBPS[helper],0),1), IF(AND(career_stage="HP",teacher_type="TB"),INDEX(INDIRECT("TBHPS["&amp;Z$10&amp;"]"),MATCH($H106,TBHPS[helper],0),1),"")))),""),"")</f>
        <v/>
      </c>
      <c r="AA106" s="392" t="str" cm="1">
        <f t="array" ref="AA106">IFERROR(INDEX(V106:Z106,6-AC105),"")</f>
        <v/>
      </c>
      <c r="AB106" s="680"/>
      <c r="AC106" s="680"/>
      <c r="AD106" s="680"/>
      <c r="AE106" s="682"/>
      <c r="AF106" s="661"/>
      <c r="AG106" s="5"/>
    </row>
    <row r="107" spans="1:33" hidden="1" x14ac:dyDescent="0.25">
      <c r="A107" s="92">
        <v>32</v>
      </c>
      <c r="B107" s="99" t="str" cm="1">
        <f t="array" ref="B107">IFERROR(IF(AND(teacher_type="R",career_stage="P"),INDEX(RPI[Strand],$A107),IF(AND(teacher_type="R",career_stage="HP"),INDEX(RHPI[Strand],$A107), IF(AND(teacher_type="TB",career_stage="P"),INDEX(TBPI[Strand],$A107), IF(AND(teacher_type="TB",career_stage="HP"),INDEX(TBHPI[Strand],$A107),0)))),0)</f>
        <v>6.4.2</v>
      </c>
      <c r="C107" s="99">
        <f>IFERROR(IF(AND(teacher_type="R",career_stage="P"),VLOOKUP($B107,RPI[[Strand]:[Domain]],COLUMNS(RPI[[Strand]:[Domain]]),FALSE), IF(AND(teacher_type="R",career_stage="HP"),VLOOKUP($B107,RHPI[[Strand]:[Domain]],COLUMNS(RHPI[[Strand]:[Domain]]),FALSE), IF(AND(teacher_type="TB",career_stage="P"),VLOOKUP($B107,TBPI[[Strand]:[Domain]],COLUMNS(TBPI[[Strand]:[Domain]]),FALSE), IF(AND(teacher_type="TB",career_stage="HP"),VLOOKUP($B107,TBHPI[[Strand]:[Domain]],COLUMNS(TBHPI[[Strand]:[Domain]]),FALSE),"")))),"")</f>
        <v>6</v>
      </c>
      <c r="D107" s="99" t="b">
        <f>IFERROR(IF(AND(career_stage="P",teacher_type="R"),VLOOKUP(B107,RPI[],COLUMNS(RPI[[Strand]:[Selected]]),FALSE), IF(AND(career_stage="HP",teacher_type="R"),VLOOKUP(B107,RHPI[],COLUMNS(RHPI[[Strand]:[Selected]]),FALSE), IF(AND(career_stage="P",teacher_type="TB"),VLOOKUP(B107,TBPI[],COLUMNS(TBPI[[Strand]:[Selected]]),FALSE), IF(AND(career_stage="HP",teacher_type="TB"),VLOOKUP(B107,TBHPI[],COLUMNS(TBHPI[[Strand]:[Selected]]),FALSE),FALSE)))),FALSE)</f>
        <v>0</v>
      </c>
      <c r="E107" s="92" t="b">
        <f>COUNTIFS($C$12:$C107,C107,$D$12:$D107,TRUE)=1</f>
        <v>0</v>
      </c>
      <c r="F107" s="92" t="b">
        <f>COUNTIFS($C$12:$C107,$C107,$B$12:$B107,$B107,$D$12:$D107,TRUE)=1</f>
        <v>0</v>
      </c>
      <c r="G107" s="99">
        <f>IF($F107,COUNTIFS($C$12:$C107,C107,$F$12:$F107,TRUE),0)</f>
        <v>0</v>
      </c>
      <c r="H107" s="99" t="str">
        <f t="shared" si="43"/>
        <v>6.4.2-T</v>
      </c>
      <c r="I107" s="99">
        <f>IF(AND(D107,NOT($A107=$A106)),(COUNTIF($D$11:$D106,TRUE)/3)+1,0)</f>
        <v>0</v>
      </c>
      <c r="J107" s="99" t="s">
        <v>1014</v>
      </c>
      <c r="K107" s="99" t="b">
        <f>IF(AND(teacher_type="R",career_stage="P"),IF(AND(COUNTIFS(RPS[Strand],$B107,RPS[QET],$J107)&gt;0,$D107),TRUE,FALSE), IF(AND(teacher_type="R",career_stage="HP"),IF(AND(COUNTIFS(RHPS[Strand],$B107,RHPS[QET],$J107)&gt;0,$D107),TRUE,FALSE), IF(AND(teacher_type="TB",career_stage="P"),IF(AND(COUNTIFS(TBPS[Strand],$B107,TBPS[QET],$J107)&gt;0,$D107),TRUE,FALSE), IF(AND(teacher_type="TB",career_stage="HP"),IF(AND(COUNTIFS(TBHPS[Strand],$B107,TBHPS[QET],$J107)&gt;0,$D107),TRUE,FALSE),FALSE))))</f>
        <v>0</v>
      </c>
      <c r="L107" s="99" t="str">
        <f>IF($K107,IF(AND(teacher_type="R",career_stage="P"),VLOOKUP($B107,RPI[],COLUMNS(RPI[[Strand]:[user_selected_coi_ncoi]]),FALSE), IF(AND(teacher_type="R",career_stage="HP"),VLOOKUP($B107,RHPI[],COLUMNS(RHPI[[Strand]:[user_selected_coi_ncoi]]),FALSE), IF(AND(teacher_type="TB",career_stage="P"),VLOOKUP($B107,TBPI[],COLUMNS(TBPI[[Strand]:[user_selected_coi_ncoi]]),FALSE), IF(AND(teacher_type="TB",career_stage="HP"),VLOOKUP($B107,TBHPI[],COLUMNS(TBHPI[[Strand]:[user_selected_coi_ncoi]]),FALSE),"")))),"")</f>
        <v/>
      </c>
      <c r="M107" s="99" t="b">
        <f>IF(AND(teacher_type="R",career_stage="P"),IF(AND(COUNTIFS(RPS[Strand],$B107,RPS[QET],M$11)&gt;0,$D107),TRUE,FALSE),IF(AND(teacher_type="R",career_stage="HP"),IF(AND(COUNTIFS(RHPS[Strand],$B107,RHPS[QET],M$11)&gt;0,$D107),TRUE,FALSE), IF(AND(teacher_type="TB",career_stage="P"),IF(AND(COUNTIFS(TBPS[Strand],$B107,TBPS[QET],M$11)&gt;0,$D107),TRUE,FALSE), IF(AND(teacher_type="TB",career_stage="HP"),IF(AND(COUNTIFS(TBHPS[Strand],$B107,TBHPS[QET],M$11)&gt;0,$D107),TRUE,FALSE),FALSE))))</f>
        <v>0</v>
      </c>
      <c r="N107" s="99" t="b">
        <f>IF(AND(teacher_type="R",career_stage="P"),IF(AND(COUNTIFS(RPS[Strand],$B107,RPS[QET],N$11)&gt;0,$D107),TRUE,FALSE),IF(AND(teacher_type="R",career_stage="HP"),IF(AND(COUNTIFS(RHPS[Strand],$B107,RHPS[QET],N$11)&gt;0,$D107),TRUE,FALSE), IF(AND(teacher_type="TB",career_stage="P"),IF(AND(COUNTIFS(TBPS[Strand],$B107,TBPS[QET],N$11)&gt;0,$D107),TRUE,FALSE), IF(AND(teacher_type="TB",career_stage="HP"),IF(AND(COUNTIFS(TBHPS[Strand],$B107,TBHPS[QET],N$11)&gt;0,$D107),TRUE,FALSE),FALSE))))</f>
        <v>0</v>
      </c>
      <c r="O107" s="99" t="b">
        <f>IF(AND(teacher_type="R",career_stage="P"),IF(AND(COUNTIFS(RPS[Strand],$B107,RPS[QET],O$11)&gt;0,$D107),TRUE,FALSE),IF(AND(teacher_type="R",career_stage="HP"),IF(AND(COUNTIFS(RHPS[Strand],$B107,RHPS[QET],O$11)&gt;0,$D107),TRUE,FALSE), IF(AND(teacher_type="TB",career_stage="P"),IF(AND(COUNTIFS(TBPS[Strand],$B107,TBPS[QET],O$11)&gt;0,$D107),TRUE,FALSE), IF(AND(teacher_type="TB",career_stage="HP"),IF(AND(COUNTIFS(TBHPS[Strand],$B107,TBHPS[QET],O$11)&gt;0,$D107),TRUE,FALSE),FALSE))))</f>
        <v>0</v>
      </c>
      <c r="P107" s="710"/>
      <c r="Q107" s="662"/>
      <c r="R107" s="663"/>
      <c r="S107" s="664"/>
      <c r="T107" s="678"/>
      <c r="U107" s="94" t="s">
        <v>1187</v>
      </c>
      <c r="V107" s="391" t="str">
        <f ca="1">IFERROR(IF($O107,IF(AND(career_stage="P",teacher_type="R"),INDEX(INDIRECT("RPS["&amp;V$10&amp;"]"),MATCH($H107,RPS[helper],0),1), IF(AND(career_stage="HP",teacher_type="R"), INDEX(INDIRECT("RHPS["&amp;V$10&amp;"]"),MATCH($H107,RHPS[helper],0),1), IF(AND(career_stage="P",teacher_type="TB"),INDEX(INDIRECT("TBPS["&amp;V$10&amp;"]"),MATCH($H107,TBPS[helper],0),1), IF(AND(career_stage="HP",teacher_type="TB"),INDEX(INDIRECT("TBHPS["&amp;V$10&amp;"]"),MATCH($H107,TBHPS[helper],0),1),"")))),""),"")</f>
        <v/>
      </c>
      <c r="W107" s="391" t="str">
        <f ca="1">IFERROR(IF($O107,IF(AND(career_stage="P",teacher_type="R"),INDEX(INDIRECT("RPS["&amp;W$10&amp;"]"),MATCH($H107,RPS[helper],0),1), IF(AND(career_stage="HP",teacher_type="R"), INDEX(INDIRECT("RHPS["&amp;W$10&amp;"]"),MATCH($H107,RHPS[helper],0),1), IF(AND(career_stage="P",teacher_type="TB"),INDEX(INDIRECT("TBPS["&amp;W$10&amp;"]"),MATCH($H107,TBPS[helper],0),1), IF(AND(career_stage="HP",teacher_type="TB"),INDEX(INDIRECT("TBHPS["&amp;W$10&amp;"]"),MATCH($H107,TBHPS[helper],0),1),"")))),""),"")</f>
        <v/>
      </c>
      <c r="X107" s="391" t="str">
        <f ca="1">IFERROR(IF($O107,IF(AND(career_stage="P",teacher_type="R"),INDEX(INDIRECT("RPS["&amp;X$10&amp;"]"),MATCH($H107,RPS[helper],0),1), IF(AND(career_stage="HP",teacher_type="R"), INDEX(INDIRECT("RHPS["&amp;X$10&amp;"]"),MATCH($H107,RHPS[helper],0),1), IF(AND(career_stage="P",teacher_type="TB"),INDEX(INDIRECT("TBPS["&amp;X$10&amp;"]"),MATCH($H107,TBPS[helper],0),1), IF(AND(career_stage="HP",teacher_type="TB"),INDEX(INDIRECT("TBHPS["&amp;X$10&amp;"]"),MATCH($H107,TBHPS[helper],0),1),"")))),""),"")</f>
        <v/>
      </c>
      <c r="Y107" s="391" t="str">
        <f ca="1">IFERROR(IF($O107,IF(AND(career_stage="P",teacher_type="R"),INDEX(INDIRECT("RPS["&amp;Y$10&amp;"]"),MATCH($H107,RPS[helper],0),1), IF(AND(career_stage="HP",teacher_type="R"), INDEX(INDIRECT("RHPS["&amp;Y$10&amp;"]"),MATCH($H107,RHPS[helper],0),1), IF(AND(career_stage="P",teacher_type="TB"),INDEX(INDIRECT("TBPS["&amp;Y$10&amp;"]"),MATCH($H107,TBPS[helper],0),1), IF(AND(career_stage="HP",teacher_type="TB"),INDEX(INDIRECT("TBHPS["&amp;Y$10&amp;"]"),MATCH($H107,TBHPS[helper],0),1),"")))),""),"")</f>
        <v/>
      </c>
      <c r="Z107" s="391" t="str">
        <f ca="1">IFERROR(IF($O107,IF(AND(career_stage="P",teacher_type="R"),INDEX(INDIRECT("RPS["&amp;Z$10&amp;"]"),MATCH($H107,RPS[helper],0),1), IF(AND(career_stage="HP",teacher_type="R"), INDEX(INDIRECT("RHPS["&amp;Z$10&amp;"]"),MATCH($H107,RHPS[helper],0),1), IF(AND(career_stage="P",teacher_type="TB"),INDEX(INDIRECT("TBPS["&amp;Z$10&amp;"]"),MATCH($H107,TBPS[helper],0),1), IF(AND(career_stage="HP",teacher_type="TB"),INDEX(INDIRECT("TBHPS["&amp;Z$10&amp;"]"),MATCH($H107,TBHPS[helper],0),1),"")))),""),"")</f>
        <v/>
      </c>
      <c r="AA107" s="391" t="str" cm="1">
        <f t="array" ref="AA107">IFERROR(INDEX(V107:Z107,6-AD105),"")</f>
        <v/>
      </c>
      <c r="AB107" s="680"/>
      <c r="AC107" s="680"/>
      <c r="AD107" s="680"/>
      <c r="AE107" s="682"/>
      <c r="AF107" s="661"/>
      <c r="AG107" s="5"/>
    </row>
    <row r="108" spans="1:33" hidden="1" x14ac:dyDescent="0.25">
      <c r="A108" s="92">
        <v>33</v>
      </c>
      <c r="B108" s="99" t="str" cm="1">
        <f t="array" ref="B108">IFERROR(IF(AND(teacher_type="R",career_stage="P"),INDEX(RPI[Strand],$A108),IF(AND(teacher_type="R",career_stage="HP"),INDEX(RHPI[Strand],$A108), IF(AND(teacher_type="TB",career_stage="P"),INDEX(TBPI[Strand],$A108), IF(AND(teacher_type="TB",career_stage="HP"),INDEX(TBHPI[Strand],$A108),0)))),0)</f>
        <v>7.1.2</v>
      </c>
      <c r="C108" s="99">
        <f>IFERROR(IF(AND(teacher_type="R",career_stage="P"),VLOOKUP($B108,RPI[[Strand]:[Domain]],COLUMNS(RPI[[Strand]:[Domain]]),FALSE), IF(AND(teacher_type="R",career_stage="HP"),VLOOKUP($B108,RHPI[[Strand]:[Domain]],COLUMNS(RHPI[[Strand]:[Domain]]),FALSE), IF(AND(teacher_type="TB",career_stage="P"),VLOOKUP($B108,TBPI[[Strand]:[Domain]],COLUMNS(TBPI[[Strand]:[Domain]]),FALSE), IF(AND(teacher_type="TB",career_stage="HP"),VLOOKUP($B108,TBHPI[[Strand]:[Domain]],COLUMNS(TBHPI[[Strand]:[Domain]]),FALSE),"")))),"")</f>
        <v>5</v>
      </c>
      <c r="D108" s="99" t="b">
        <f>IFERROR(IF(AND(career_stage="P",teacher_type="R"),VLOOKUP(B108,RPI[],COLUMNS(RPI[[Strand]:[Selected]]),FALSE), IF(AND(career_stage="HP",teacher_type="R"),VLOOKUP(B108,RHPI[],COLUMNS(RHPI[[Strand]:[Selected]]),FALSE), IF(AND(career_stage="P",teacher_type="TB"),VLOOKUP(B108,TBPI[],COLUMNS(TBPI[[Strand]:[Selected]]),FALSE), IF(AND(career_stage="HP",teacher_type="TB"),VLOOKUP(B108,TBHPI[],COLUMNS(TBHPI[[Strand]:[Selected]]),FALSE),FALSE)))),FALSE)</f>
        <v>0</v>
      </c>
      <c r="E108" s="92" t="b">
        <f>COUNTIFS($C$12:$C108,C108,$D$12:$D108,TRUE)=1</f>
        <v>0</v>
      </c>
      <c r="F108" s="92" t="b">
        <f>COUNTIFS($C$12:$C108,$C108,$B$12:$B108,$B108,$D$12:$D108,TRUE)=1</f>
        <v>0</v>
      </c>
      <c r="G108" s="99">
        <f>IF($F108,COUNTIFS($C$12:$C108,C108,$F$12:$F108,TRUE),0)</f>
        <v>0</v>
      </c>
      <c r="H108" s="99" t="str">
        <f t="shared" si="43"/>
        <v>7.1.2-Q</v>
      </c>
      <c r="I108" s="99">
        <f>IF(AND(D108,NOT($A108=$A107)),(COUNTIF($D$11:$D107,TRUE)/3)+1,0)</f>
        <v>0</v>
      </c>
      <c r="J108" s="99" t="s">
        <v>1012</v>
      </c>
      <c r="K108" s="99" t="b">
        <f>IF(AND(teacher_type="R",career_stage="P"),IF(AND(COUNTIFS(RPS[Strand],$B108,RPS[QET],$J108)&gt;0,$D108),TRUE,FALSE), IF(AND(teacher_type="R",career_stage="HP"),IF(AND(COUNTIFS(RHPS[Strand],$B108,RHPS[QET],$J108)&gt;0,$D108),TRUE,FALSE), IF(AND(teacher_type="TB",career_stage="P"),IF(AND(COUNTIFS(TBPS[Strand],$B108,TBPS[QET],$J108)&gt;0,$D108),TRUE,FALSE), IF(AND(teacher_type="TB",career_stage="HP"),IF(AND(COUNTIFS(TBHPS[Strand],$B108,TBHPS[QET],$J108)&gt;0,$D108),TRUE,FALSE),FALSE))))</f>
        <v>0</v>
      </c>
      <c r="L108" s="99" t="str">
        <f>IF($K108,IF(AND(teacher_type="R",career_stage="P"),VLOOKUP($B108,RPI[],COLUMNS(RPI[[Strand]:[user_selected_coi_ncoi]]),FALSE), IF(AND(teacher_type="R",career_stage="HP"),VLOOKUP($B108,RHPI[],COLUMNS(RHPI[[Strand]:[user_selected_coi_ncoi]]),FALSE), IF(AND(teacher_type="TB",career_stage="P"),VLOOKUP($B108,TBPI[],COLUMNS(TBPI[[Strand]:[user_selected_coi_ncoi]]),FALSE), IF(AND(teacher_type="TB",career_stage="HP"),VLOOKUP($B108,TBHPI[],COLUMNS(TBHPI[[Strand]:[user_selected_coi_ncoi]]),FALSE),"")))),"")</f>
        <v/>
      </c>
      <c r="M108" s="99" t="b">
        <f>IF(AND(teacher_type="R",career_stage="P"),IF(AND(COUNTIFS(RPS[Strand],$B108,RPS[QET],M$11)&gt;0,$D108),TRUE,FALSE),IF(AND(teacher_type="R",career_stage="HP"),IF(AND(COUNTIFS(RHPS[Strand],$B108,RHPS[QET],M$11)&gt;0,$D108),TRUE,FALSE), IF(AND(teacher_type="TB",career_stage="P"),IF(AND(COUNTIFS(TBPS[Strand],$B108,TBPS[QET],M$11)&gt;0,$D108),TRUE,FALSE), IF(AND(teacher_type="TB",career_stage="HP"),IF(AND(COUNTIFS(TBHPS[Strand],$B108,TBHPS[QET],M$11)&gt;0,$D108),TRUE,FALSE),FALSE))))</f>
        <v>0</v>
      </c>
      <c r="N108" s="99" t="b">
        <f>IF(AND(teacher_type="R",career_stage="P"),IF(AND(COUNTIFS(RPS[Strand],$B108,RPS[QET],N$11)&gt;0,$D108),TRUE,FALSE),IF(AND(teacher_type="R",career_stage="HP"),IF(AND(COUNTIFS(RHPS[Strand],$B108,RHPS[QET],N$11)&gt;0,$D108),TRUE,FALSE), IF(AND(teacher_type="TB",career_stage="P"),IF(AND(COUNTIFS(TBPS[Strand],$B108,TBPS[QET],N$11)&gt;0,$D108),TRUE,FALSE), IF(AND(teacher_type="TB",career_stage="HP"),IF(AND(COUNTIFS(TBHPS[Strand],$B108,TBHPS[QET],N$11)&gt;0,$D108),TRUE,FALSE),FALSE))))</f>
        <v>0</v>
      </c>
      <c r="O108" s="99" t="b">
        <f>IF(AND(teacher_type="R",career_stage="P"),IF(AND(COUNTIFS(RPS[Strand],$B108,RPS[QET],O$11)&gt;0,$D108),TRUE,FALSE),IF(AND(teacher_type="R",career_stage="HP"),IF(AND(COUNTIFS(RHPS[Strand],$B108,RHPS[QET],O$11)&gt;0,$D108),TRUE,FALSE), IF(AND(teacher_type="TB",career_stage="P"),IF(AND(COUNTIFS(TBPS[Strand],$B108,TBPS[QET],O$11)&gt;0,$D108),TRUE,FALSE), IF(AND(teacher_type="TB",career_stage="HP"),IF(AND(COUNTIFS(TBHPS[Strand],$B108,TBHPS[QET],O$11)&gt;0,$D108),TRUE,FALSE),FALSE))))</f>
        <v>0</v>
      </c>
      <c r="P108" s="710"/>
      <c r="Q108" s="662" t="str">
        <f>IFERROR(IF(E108,IF(C108="Plus Factor","Plus Factor",C108 &amp; ". " &amp; INDEX(Domains[Domain],MATCH(C108,Domains[Domain_code],0),1)),""),"")</f>
        <v/>
      </c>
      <c r="R108" s="663" t="str">
        <f>IFERROR(IF($F108,$I108 &amp; ". " &amp; IF(AND(career_stage="P",teacher_type="R"), INDEX(RPI[PPST Indicators],MATCH($B108,RPI[Strand],0),1), IF(AND(career_stage="HP",teacher_type="R"),INDEX(RHPI[PPST Indicators],MATCH($B108,RHPI[Strand],0),1), IF(AND(career_stage="P",teacher_type="TB"),INDEX(TBPI[PPST Indicators],MATCH($B108,TBPI[Strand],0),1), IF(AND(career_stage="HP",teacher_type="TB"),INDEX(TBHPI[PPST Indicators],MATCH($B108,TBHPI[Strand],0),1),"")))) &amp; IF(NOT(TRIM(LOWER($C108))="plus factor")," (PPST "&amp;B108&amp;")",""),""),"")</f>
        <v/>
      </c>
      <c r="S108" s="664" t="str" cm="1">
        <f t="array" ref="S108">demographics[rating_period]</f>
        <v>SY 2023-2024</v>
      </c>
      <c r="T108" s="678">
        <f>IFERROR(IF(AND(career_stage="P",teacher_type="R"),VLOOKUP(B108,RPI[],COLUMNS(RPI[[Strand]:[Weight]]),FALSE), IF(AND(career_stage="HP",teacher_type="R"),VLOOKUP(B108,RHPI[],COLUMNS(RHPI[[Strand]:[Weight]]),FALSE), IF(AND(career_stage="P",teacher_type="TB"),VLOOKUP(B108,TBPI[],COLUMNS(TBPI[[Strand]:[Weight]]),FALSE), IF(AND(career_stage="HP",teacher_type="TB"),VLOOKUP(B108,TBHPI[],COLUMNS(TBHPI[[Strand]:[Weight]]),FALSE),0)))),0)</f>
        <v>0</v>
      </c>
      <c r="U108" s="94" t="s">
        <v>1185</v>
      </c>
      <c r="V108" s="391" t="str">
        <f ca="1">IFERROR(IF($M108,IF(AND(career_stage="P",teacher_type="R"),INDEX(INDIRECT("RPS["&amp;V$10&amp;"]"),MATCH($H108,RPS[helper],0),1), IF(AND(career_stage="HP",teacher_type="R"), INDEX(INDIRECT("RHPS["&amp;V$10&amp;"]"),MATCH($H108,RHPS[helper],0),1), IF(AND(career_stage="P",teacher_type="TB"),INDEX(INDIRECT("TBPS["&amp;V$10&amp;"]"),MATCH($H108,TBPS[helper],0),1), IF(AND(career_stage="HP",teacher_type="TB"),INDEX(INDIRECT("TBHPS["&amp;V$10&amp;"]"),MATCH($H108,TBHPS[helper],0),1),"")))),""),"")</f>
        <v/>
      </c>
      <c r="W108" s="391" t="str">
        <f ca="1">IFERROR(IF($M108,IF(AND(career_stage="P",teacher_type="R"),INDEX(INDIRECT("RPS["&amp;W$10&amp;"]"),MATCH($H108,RPS[helper],0),1), IF(AND(career_stage="HP",teacher_type="R"), INDEX(INDIRECT("RHPS["&amp;W$10&amp;"]"),MATCH($H108,RHPS[helper],0),1), IF(AND(career_stage="P",teacher_type="TB"),INDEX(INDIRECT("TBPS["&amp;W$10&amp;"]"),MATCH($H108,TBPS[helper],0),1), IF(AND(career_stage="HP",teacher_type="TB"),INDEX(INDIRECT("TBHPS["&amp;W$10&amp;"]"),MATCH($H108,TBHPS[helper],0),1),"")))),""),"")</f>
        <v/>
      </c>
      <c r="X108" s="391" t="str">
        <f ca="1">IFERROR(IF($M108,IF(AND(career_stage="P",teacher_type="R"),INDEX(INDIRECT("RPS["&amp;X$10&amp;"]"),MATCH($H108,RPS[helper],0),1), IF(AND(career_stage="HP",teacher_type="R"), INDEX(INDIRECT("RHPS["&amp;X$10&amp;"]"),MATCH($H108,RHPS[helper],0),1), IF(AND(career_stage="P",teacher_type="TB"),INDEX(INDIRECT("TBPS["&amp;X$10&amp;"]"),MATCH($H108,TBPS[helper],0),1), IF(AND(career_stage="HP",teacher_type="TB"),INDEX(INDIRECT("TBHPS["&amp;X$10&amp;"]"),MATCH($H108,TBHPS[helper],0),1),"")))),""),"")</f>
        <v/>
      </c>
      <c r="Y108" s="391" t="str">
        <f ca="1">IFERROR(IF($M108,IF(AND(career_stage="P",teacher_type="R"),INDEX(INDIRECT("RPS["&amp;Y$10&amp;"]"),MATCH($H108,RPS[helper],0),1), IF(AND(career_stage="HP",teacher_type="R"), INDEX(INDIRECT("RHPS["&amp;Y$10&amp;"]"),MATCH($H108,RHPS[helper],0),1), IF(AND(career_stage="P",teacher_type="TB"),INDEX(INDIRECT("TBPS["&amp;Y$10&amp;"]"),MATCH($H108,TBPS[helper],0),1), IF(AND(career_stage="HP",teacher_type="TB"),INDEX(INDIRECT("TBHPS["&amp;Y$10&amp;"]"),MATCH($H108,TBHPS[helper],0),1),"")))),""),"")</f>
        <v/>
      </c>
      <c r="Z108" s="391" t="str">
        <f ca="1">IFERROR(IF($M108,IF(AND(career_stage="P",teacher_type="R"),INDEX(INDIRECT("RPS["&amp;Z$10&amp;"]"),MATCH($H108,RPS[helper],0),1), IF(AND(career_stage="HP",teacher_type="R"), INDEX(INDIRECT("RHPS["&amp;Z$10&amp;"]"),MATCH($H108,RHPS[helper],0),1), IF(AND(career_stage="P",teacher_type="TB"),INDEX(INDIRECT("TBPS["&amp;Z$10&amp;"]"),MATCH($H108,TBPS[helper],0),1), IF(AND(career_stage="HP",teacher_type="TB"),INDEX(INDIRECT("TBHPS["&amp;Z$10&amp;"]"),MATCH($H108,TBHPS[helper],0),1),"")))),""),"")</f>
        <v/>
      </c>
      <c r="AA108" s="392" t="str" cm="1">
        <f t="array" ref="AA108">IFERROR(INDEX(V108:Z108,6-AB108),"")</f>
        <v/>
      </c>
      <c r="AB108" s="680" t="str">
        <f>IF('Encoding Part 1'!AB54="","",'Encoding Part 1'!AB54)</f>
        <v/>
      </c>
      <c r="AC108" s="680" t="str">
        <f>IF('Encoding Part 1'!AC54="","",'Encoding Part 1'!AC54)</f>
        <v/>
      </c>
      <c r="AD108" s="680" t="str">
        <f>IF('Encoding Part 1'!AD54="","",'Encoding Part 1'!AD54)</f>
        <v/>
      </c>
      <c r="AE108" s="682">
        <f t="shared" ref="AE108" si="64">IFERROR(ROUNDDOWN(AVERAGE($AB108:$AD108),3),0)</f>
        <v>0</v>
      </c>
      <c r="AF108" s="661">
        <f t="shared" ref="AF108" si="65">ROUNDDOWN($AE108*$T108,3)</f>
        <v>0</v>
      </c>
      <c r="AG108" s="5"/>
    </row>
    <row r="109" spans="1:33" hidden="1" x14ac:dyDescent="0.25">
      <c r="A109" s="92">
        <v>33</v>
      </c>
      <c r="B109" s="99" t="str" cm="1">
        <f t="array" ref="B109">IFERROR(IF(AND(teacher_type="R",career_stage="P"),INDEX(RPI[Strand],$A109),IF(AND(teacher_type="R",career_stage="HP"),INDEX(RHPI[Strand],$A109), IF(AND(teacher_type="TB",career_stage="P"),INDEX(TBPI[Strand],$A109), IF(AND(teacher_type="TB",career_stage="HP"),INDEX(TBHPI[Strand],$A109),0)))),0)</f>
        <v>7.1.2</v>
      </c>
      <c r="C109" s="99">
        <f>IFERROR(IF(AND(teacher_type="R",career_stage="P"),VLOOKUP($B109,RPI[[Strand]:[Domain]],COLUMNS(RPI[[Strand]:[Domain]]),FALSE), IF(AND(teacher_type="R",career_stage="HP"),VLOOKUP($B109,RHPI[[Strand]:[Domain]],COLUMNS(RHPI[[Strand]:[Domain]]),FALSE), IF(AND(teacher_type="TB",career_stage="P"),VLOOKUP($B109,TBPI[[Strand]:[Domain]],COLUMNS(TBPI[[Strand]:[Domain]]),FALSE), IF(AND(teacher_type="TB",career_stage="HP"),VLOOKUP($B109,TBHPI[[Strand]:[Domain]],COLUMNS(TBHPI[[Strand]:[Domain]]),FALSE),"")))),"")</f>
        <v>5</v>
      </c>
      <c r="D109" s="99" t="b">
        <f>IFERROR(IF(AND(career_stage="P",teacher_type="R"),VLOOKUP(B109,RPI[],COLUMNS(RPI[[Strand]:[Selected]]),FALSE), IF(AND(career_stage="HP",teacher_type="R"),VLOOKUP(B109,RHPI[],COLUMNS(RHPI[[Strand]:[Selected]]),FALSE), IF(AND(career_stage="P",teacher_type="TB"),VLOOKUP(B109,TBPI[],COLUMNS(TBPI[[Strand]:[Selected]]),FALSE), IF(AND(career_stage="HP",teacher_type="TB"),VLOOKUP(B109,TBHPI[],COLUMNS(TBHPI[[Strand]:[Selected]]),FALSE),FALSE)))),FALSE)</f>
        <v>0</v>
      </c>
      <c r="E109" s="92" t="b">
        <f>COUNTIFS($C$12:$C109,C109,$D$12:$D109,TRUE)=1</f>
        <v>0</v>
      </c>
      <c r="F109" s="92" t="b">
        <f>COUNTIFS($C$12:$C109,$C109,$B$12:$B109,$B109,$D$12:$D109,TRUE)=1</f>
        <v>0</v>
      </c>
      <c r="G109" s="99">
        <f>IF($F109,COUNTIFS($C$12:$C109,C109,$F$12:$F109,TRUE),0)</f>
        <v>0</v>
      </c>
      <c r="H109" s="99" t="str">
        <f t="shared" si="43"/>
        <v>7.1.2-E</v>
      </c>
      <c r="I109" s="99">
        <f>IF(AND(D109,NOT($A109=$A108)),(COUNTIF($D$11:$D108,TRUE)/3)+1,0)</f>
        <v>0</v>
      </c>
      <c r="J109" s="99" t="s">
        <v>1073</v>
      </c>
      <c r="K109" s="99" t="b">
        <f>IF(AND(teacher_type="R",career_stage="P"),IF(AND(COUNTIFS(RPS[Strand],$B109,RPS[QET],$J109)&gt;0,$D109),TRUE,FALSE), IF(AND(teacher_type="R",career_stage="HP"),IF(AND(COUNTIFS(RHPS[Strand],$B109,RHPS[QET],$J109)&gt;0,$D109),TRUE,FALSE), IF(AND(teacher_type="TB",career_stage="P"),IF(AND(COUNTIFS(TBPS[Strand],$B109,TBPS[QET],$J109)&gt;0,$D109),TRUE,FALSE), IF(AND(teacher_type="TB",career_stage="HP"),IF(AND(COUNTIFS(TBHPS[Strand],$B109,TBHPS[QET],$J109)&gt;0,$D109),TRUE,FALSE),FALSE))))</f>
        <v>0</v>
      </c>
      <c r="L109" s="99" t="str">
        <f>IF($K109,IF(AND(teacher_type="R",career_stage="P"),VLOOKUP($B109,RPI[],COLUMNS(RPI[[Strand]:[user_selected_coi_ncoi]]),FALSE), IF(AND(teacher_type="R",career_stage="HP"),VLOOKUP($B109,RHPI[],COLUMNS(RHPI[[Strand]:[user_selected_coi_ncoi]]),FALSE), IF(AND(teacher_type="TB",career_stage="P"),VLOOKUP($B109,TBPI[],COLUMNS(TBPI[[Strand]:[user_selected_coi_ncoi]]),FALSE), IF(AND(teacher_type="TB",career_stage="HP"),VLOOKUP($B109,TBHPI[],COLUMNS(TBHPI[[Strand]:[user_selected_coi_ncoi]]),FALSE),"")))),"")</f>
        <v/>
      </c>
      <c r="M109" s="99" t="b">
        <f>IF(AND(teacher_type="R",career_stage="P"),IF(AND(COUNTIFS(RPS[Strand],$B109,RPS[QET],M$11)&gt;0,$D109),TRUE,FALSE),IF(AND(teacher_type="R",career_stage="HP"),IF(AND(COUNTIFS(RHPS[Strand],$B109,RHPS[QET],M$11)&gt;0,$D109),TRUE,FALSE), IF(AND(teacher_type="TB",career_stage="P"),IF(AND(COUNTIFS(TBPS[Strand],$B109,TBPS[QET],M$11)&gt;0,$D109),TRUE,FALSE), IF(AND(teacher_type="TB",career_stage="HP"),IF(AND(COUNTIFS(TBHPS[Strand],$B109,TBHPS[QET],M$11)&gt;0,$D109),TRUE,FALSE),FALSE))))</f>
        <v>0</v>
      </c>
      <c r="N109" s="99" t="b">
        <f>IF(AND(teacher_type="R",career_stage="P"),IF(AND(COUNTIFS(RPS[Strand],$B109,RPS[QET],N$11)&gt;0,$D109),TRUE,FALSE),IF(AND(teacher_type="R",career_stage="HP"),IF(AND(COUNTIFS(RHPS[Strand],$B109,RHPS[QET],N$11)&gt;0,$D109),TRUE,FALSE), IF(AND(teacher_type="TB",career_stage="P"),IF(AND(COUNTIFS(TBPS[Strand],$B109,TBPS[QET],N$11)&gt;0,$D109),TRUE,FALSE), IF(AND(teacher_type="TB",career_stage="HP"),IF(AND(COUNTIFS(TBHPS[Strand],$B109,TBHPS[QET],N$11)&gt;0,$D109),TRUE,FALSE),FALSE))))</f>
        <v>0</v>
      </c>
      <c r="O109" s="99" t="b">
        <f>IF(AND(teacher_type="R",career_stage="P"),IF(AND(COUNTIFS(RPS[Strand],$B109,RPS[QET],O$11)&gt;0,$D109),TRUE,FALSE),IF(AND(teacher_type="R",career_stage="HP"),IF(AND(COUNTIFS(RHPS[Strand],$B109,RHPS[QET],O$11)&gt;0,$D109),TRUE,FALSE), IF(AND(teacher_type="TB",career_stage="P"),IF(AND(COUNTIFS(TBPS[Strand],$B109,TBPS[QET],O$11)&gt;0,$D109),TRUE,FALSE), IF(AND(teacher_type="TB",career_stage="HP"),IF(AND(COUNTIFS(TBHPS[Strand],$B109,TBHPS[QET],O$11)&gt;0,$D109),TRUE,FALSE),FALSE))))</f>
        <v>0</v>
      </c>
      <c r="P109" s="710"/>
      <c r="Q109" s="662"/>
      <c r="R109" s="663"/>
      <c r="S109" s="664"/>
      <c r="T109" s="678"/>
      <c r="U109" s="94" t="s">
        <v>1186</v>
      </c>
      <c r="V109" s="391" t="str">
        <f ca="1">IFERROR(IF($N109,IF(AND(career_stage="P",teacher_type="R"),INDEX(INDIRECT("RPS["&amp;V$10&amp;"]"),MATCH($H109,RPS[helper],0),1), IF(AND(career_stage="HP",teacher_type="R"), INDEX(INDIRECT("RHPS["&amp;V$10&amp;"]"),MATCH($H109,RHPS[helper],0),1), IF(AND(career_stage="P",teacher_type="TB"),INDEX(INDIRECT("TBPS["&amp;V$10&amp;"]"),MATCH($H109,TBPS[helper],0),1), IF(AND(career_stage="HP",teacher_type="TB"),INDEX(INDIRECT("TBHPS["&amp;V$10&amp;"]"),MATCH($H109,TBHPS[helper],0),1),"")))),""),"")</f>
        <v/>
      </c>
      <c r="W109" s="391" t="str">
        <f ca="1">IFERROR(IF($N109,IF(AND(career_stage="P",teacher_type="R"),INDEX(INDIRECT("RPS["&amp;W$10&amp;"]"),MATCH($H109,RPS[helper],0),1), IF(AND(career_stage="HP",teacher_type="R"), INDEX(INDIRECT("RHPS["&amp;W$10&amp;"]"),MATCH($H109,RHPS[helper],0),1), IF(AND(career_stage="P",teacher_type="TB"),INDEX(INDIRECT("TBPS["&amp;W$10&amp;"]"),MATCH($H109,TBPS[helper],0),1), IF(AND(career_stage="HP",teacher_type="TB"),INDEX(INDIRECT("TBHPS["&amp;W$10&amp;"]"),MATCH($H109,TBHPS[helper],0),1),"")))),""),"")</f>
        <v/>
      </c>
      <c r="X109" s="391" t="str">
        <f ca="1">IFERROR(IF($N109,IF(AND(career_stage="P",teacher_type="R"),INDEX(INDIRECT("RPS["&amp;X$10&amp;"]"),MATCH($H109,RPS[helper],0),1), IF(AND(career_stage="HP",teacher_type="R"), INDEX(INDIRECT("RHPS["&amp;X$10&amp;"]"),MATCH($H109,RHPS[helper],0),1), IF(AND(career_stage="P",teacher_type="TB"),INDEX(INDIRECT("TBPS["&amp;X$10&amp;"]"),MATCH($H109,TBPS[helper],0),1), IF(AND(career_stage="HP",teacher_type="TB"),INDEX(INDIRECT("TBHPS["&amp;X$10&amp;"]"),MATCH($H109,TBHPS[helper],0),1),"")))),""),"")</f>
        <v/>
      </c>
      <c r="Y109" s="391" t="str">
        <f ca="1">IFERROR(IF($N109,IF(AND(career_stage="P",teacher_type="R"),INDEX(INDIRECT("RPS["&amp;Y$10&amp;"]"),MATCH($H109,RPS[helper],0),1), IF(AND(career_stage="HP",teacher_type="R"), INDEX(INDIRECT("RHPS["&amp;Y$10&amp;"]"),MATCH($H109,RHPS[helper],0),1), IF(AND(career_stage="P",teacher_type="TB"),INDEX(INDIRECT("TBPS["&amp;Y$10&amp;"]"),MATCH($H109,TBPS[helper],0),1), IF(AND(career_stage="HP",teacher_type="TB"),INDEX(INDIRECT("TBHPS["&amp;Y$10&amp;"]"),MATCH($H109,TBHPS[helper],0),1),"")))),""),"")</f>
        <v/>
      </c>
      <c r="Z109" s="391" t="str">
        <f ca="1">IFERROR(IF($N109,IF(AND(career_stage="P",teacher_type="R"),INDEX(INDIRECT("RPS["&amp;Z$10&amp;"]"),MATCH($H109,RPS[helper],0),1), IF(AND(career_stage="HP",teacher_type="R"), INDEX(INDIRECT("RHPS["&amp;Z$10&amp;"]"),MATCH($H109,RHPS[helper],0),1), IF(AND(career_stage="P",teacher_type="TB"),INDEX(INDIRECT("TBPS["&amp;Z$10&amp;"]"),MATCH($H109,TBPS[helper],0),1), IF(AND(career_stage="HP",teacher_type="TB"),INDEX(INDIRECT("TBHPS["&amp;Z$10&amp;"]"),MATCH($H109,TBHPS[helper],0),1),"")))),""),"")</f>
        <v/>
      </c>
      <c r="AA109" s="392" t="str" cm="1">
        <f t="array" ref="AA109">IFERROR(INDEX(V109:Z109,6-AC108),"")</f>
        <v/>
      </c>
      <c r="AB109" s="680"/>
      <c r="AC109" s="680"/>
      <c r="AD109" s="680"/>
      <c r="AE109" s="682"/>
      <c r="AF109" s="661"/>
      <c r="AG109" s="5"/>
    </row>
    <row r="110" spans="1:33" hidden="1" x14ac:dyDescent="0.25">
      <c r="A110" s="92">
        <v>33</v>
      </c>
      <c r="B110" s="99" t="str" cm="1">
        <f t="array" ref="B110">IFERROR(IF(AND(teacher_type="R",career_stage="P"),INDEX(RPI[Strand],$A110),IF(AND(teacher_type="R",career_stage="HP"),INDEX(RHPI[Strand],$A110), IF(AND(teacher_type="TB",career_stage="P"),INDEX(TBPI[Strand],$A110), IF(AND(teacher_type="TB",career_stage="HP"),INDEX(TBHPI[Strand],$A110),0)))),0)</f>
        <v>7.1.2</v>
      </c>
      <c r="C110" s="99">
        <f>IFERROR(IF(AND(teacher_type="R",career_stage="P"),VLOOKUP($B110,RPI[[Strand]:[Domain]],COLUMNS(RPI[[Strand]:[Domain]]),FALSE), IF(AND(teacher_type="R",career_stage="HP"),VLOOKUP($B110,RHPI[[Strand]:[Domain]],COLUMNS(RHPI[[Strand]:[Domain]]),FALSE), IF(AND(teacher_type="TB",career_stage="P"),VLOOKUP($B110,TBPI[[Strand]:[Domain]],COLUMNS(TBPI[[Strand]:[Domain]]),FALSE), IF(AND(teacher_type="TB",career_stage="HP"),VLOOKUP($B110,TBHPI[[Strand]:[Domain]],COLUMNS(TBHPI[[Strand]:[Domain]]),FALSE),"")))),"")</f>
        <v>5</v>
      </c>
      <c r="D110" s="99" t="b">
        <f>IFERROR(IF(AND(career_stage="P",teacher_type="R"),VLOOKUP(B110,RPI[],COLUMNS(RPI[[Strand]:[Selected]]),FALSE), IF(AND(career_stage="HP",teacher_type="R"),VLOOKUP(B110,RHPI[],COLUMNS(RHPI[[Strand]:[Selected]]),FALSE), IF(AND(career_stage="P",teacher_type="TB"),VLOOKUP(B110,TBPI[],COLUMNS(TBPI[[Strand]:[Selected]]),FALSE), IF(AND(career_stage="HP",teacher_type="TB"),VLOOKUP(B110,TBHPI[],COLUMNS(TBHPI[[Strand]:[Selected]]),FALSE),FALSE)))),FALSE)</f>
        <v>0</v>
      </c>
      <c r="E110" s="92" t="b">
        <f>COUNTIFS($C$12:$C110,C110,$D$12:$D110,TRUE)=1</f>
        <v>0</v>
      </c>
      <c r="F110" s="92" t="b">
        <f>COUNTIFS($C$12:$C110,$C110,$B$12:$B110,$B110,$D$12:$D110,TRUE)=1</f>
        <v>0</v>
      </c>
      <c r="G110" s="99">
        <f>IF($F110,COUNTIFS($C$12:$C110,C110,$F$12:$F110,TRUE),0)</f>
        <v>0</v>
      </c>
      <c r="H110" s="99" t="str">
        <f t="shared" si="43"/>
        <v>7.1.2-T</v>
      </c>
      <c r="I110" s="99">
        <f>IF(AND(D110,NOT($A110=$A109)),(COUNTIF($D$11:$D109,TRUE)/3)+1,0)</f>
        <v>0</v>
      </c>
      <c r="J110" s="99" t="s">
        <v>1014</v>
      </c>
      <c r="K110" s="99" t="b">
        <f>IF(AND(teacher_type="R",career_stage="P"),IF(AND(COUNTIFS(RPS[Strand],$B110,RPS[QET],$J110)&gt;0,$D110),TRUE,FALSE), IF(AND(teacher_type="R",career_stage="HP"),IF(AND(COUNTIFS(RHPS[Strand],$B110,RHPS[QET],$J110)&gt;0,$D110),TRUE,FALSE), IF(AND(teacher_type="TB",career_stage="P"),IF(AND(COUNTIFS(TBPS[Strand],$B110,TBPS[QET],$J110)&gt;0,$D110),TRUE,FALSE), IF(AND(teacher_type="TB",career_stage="HP"),IF(AND(COUNTIFS(TBHPS[Strand],$B110,TBHPS[QET],$J110)&gt;0,$D110),TRUE,FALSE),FALSE))))</f>
        <v>0</v>
      </c>
      <c r="L110" s="99" t="str">
        <f>IF($K110,IF(AND(teacher_type="R",career_stage="P"),VLOOKUP($B110,RPI[],COLUMNS(RPI[[Strand]:[user_selected_coi_ncoi]]),FALSE), IF(AND(teacher_type="R",career_stage="HP"),VLOOKUP($B110,RHPI[],COLUMNS(RHPI[[Strand]:[user_selected_coi_ncoi]]),FALSE), IF(AND(teacher_type="TB",career_stage="P"),VLOOKUP($B110,TBPI[],COLUMNS(TBPI[[Strand]:[user_selected_coi_ncoi]]),FALSE), IF(AND(teacher_type="TB",career_stage="HP"),VLOOKUP($B110,TBHPI[],COLUMNS(TBHPI[[Strand]:[user_selected_coi_ncoi]]),FALSE),"")))),"")</f>
        <v/>
      </c>
      <c r="M110" s="99" t="b">
        <f>IF(AND(teacher_type="R",career_stage="P"),IF(AND(COUNTIFS(RPS[Strand],$B110,RPS[QET],M$11)&gt;0,$D110),TRUE,FALSE),IF(AND(teacher_type="R",career_stage="HP"),IF(AND(COUNTIFS(RHPS[Strand],$B110,RHPS[QET],M$11)&gt;0,$D110),TRUE,FALSE), IF(AND(teacher_type="TB",career_stage="P"),IF(AND(COUNTIFS(TBPS[Strand],$B110,TBPS[QET],M$11)&gt;0,$D110),TRUE,FALSE), IF(AND(teacher_type="TB",career_stage="HP"),IF(AND(COUNTIFS(TBHPS[Strand],$B110,TBHPS[QET],M$11)&gt;0,$D110),TRUE,FALSE),FALSE))))</f>
        <v>0</v>
      </c>
      <c r="N110" s="99" t="b">
        <f>IF(AND(teacher_type="R",career_stage="P"),IF(AND(COUNTIFS(RPS[Strand],$B110,RPS[QET],N$11)&gt;0,$D110),TRUE,FALSE),IF(AND(teacher_type="R",career_stage="HP"),IF(AND(COUNTIFS(RHPS[Strand],$B110,RHPS[QET],N$11)&gt;0,$D110),TRUE,FALSE), IF(AND(teacher_type="TB",career_stage="P"),IF(AND(COUNTIFS(TBPS[Strand],$B110,TBPS[QET],N$11)&gt;0,$D110),TRUE,FALSE), IF(AND(teacher_type="TB",career_stage="HP"),IF(AND(COUNTIFS(TBHPS[Strand],$B110,TBHPS[QET],N$11)&gt;0,$D110),TRUE,FALSE),FALSE))))</f>
        <v>0</v>
      </c>
      <c r="O110" s="99" t="b">
        <f>IF(AND(teacher_type="R",career_stage="P"),IF(AND(COUNTIFS(RPS[Strand],$B110,RPS[QET],O$11)&gt;0,$D110),TRUE,FALSE),IF(AND(teacher_type="R",career_stage="HP"),IF(AND(COUNTIFS(RHPS[Strand],$B110,RHPS[QET],O$11)&gt;0,$D110),TRUE,FALSE), IF(AND(teacher_type="TB",career_stage="P"),IF(AND(COUNTIFS(TBPS[Strand],$B110,TBPS[QET],O$11)&gt;0,$D110),TRUE,FALSE), IF(AND(teacher_type="TB",career_stage="HP"),IF(AND(COUNTIFS(TBHPS[Strand],$B110,TBHPS[QET],O$11)&gt;0,$D110),TRUE,FALSE),FALSE))))</f>
        <v>0</v>
      </c>
      <c r="P110" s="710"/>
      <c r="Q110" s="662"/>
      <c r="R110" s="663"/>
      <c r="S110" s="664"/>
      <c r="T110" s="678"/>
      <c r="U110" s="94" t="s">
        <v>1187</v>
      </c>
      <c r="V110" s="391" t="str">
        <f ca="1">IFERROR(IF($O110,IF(AND(career_stage="P",teacher_type="R"),INDEX(INDIRECT("RPS["&amp;V$10&amp;"]"),MATCH($H110,RPS[helper],0),1), IF(AND(career_stage="HP",teacher_type="R"), INDEX(INDIRECT("RHPS["&amp;V$10&amp;"]"),MATCH($H110,RHPS[helper],0),1), IF(AND(career_stage="P",teacher_type="TB"),INDEX(INDIRECT("TBPS["&amp;V$10&amp;"]"),MATCH($H110,TBPS[helper],0),1), IF(AND(career_stage="HP",teacher_type="TB"),INDEX(INDIRECT("TBHPS["&amp;V$10&amp;"]"),MATCH($H110,TBHPS[helper],0),1),"")))),""),"")</f>
        <v/>
      </c>
      <c r="W110" s="391" t="str">
        <f ca="1">IFERROR(IF($O110,IF(AND(career_stage="P",teacher_type="R"),INDEX(INDIRECT("RPS["&amp;W$10&amp;"]"),MATCH($H110,RPS[helper],0),1), IF(AND(career_stage="HP",teacher_type="R"), INDEX(INDIRECT("RHPS["&amp;W$10&amp;"]"),MATCH($H110,RHPS[helper],0),1), IF(AND(career_stage="P",teacher_type="TB"),INDEX(INDIRECT("TBPS["&amp;W$10&amp;"]"),MATCH($H110,TBPS[helper],0),1), IF(AND(career_stage="HP",teacher_type="TB"),INDEX(INDIRECT("TBHPS["&amp;W$10&amp;"]"),MATCH($H110,TBHPS[helper],0),1),"")))),""),"")</f>
        <v/>
      </c>
      <c r="X110" s="391" t="str">
        <f ca="1">IFERROR(IF($O110,IF(AND(career_stage="P",teacher_type="R"),INDEX(INDIRECT("RPS["&amp;X$10&amp;"]"),MATCH($H110,RPS[helper],0),1), IF(AND(career_stage="HP",teacher_type="R"), INDEX(INDIRECT("RHPS["&amp;X$10&amp;"]"),MATCH($H110,RHPS[helper],0),1), IF(AND(career_stage="P",teacher_type="TB"),INDEX(INDIRECT("TBPS["&amp;X$10&amp;"]"),MATCH($H110,TBPS[helper],0),1), IF(AND(career_stage="HP",teacher_type="TB"),INDEX(INDIRECT("TBHPS["&amp;X$10&amp;"]"),MATCH($H110,TBHPS[helper],0),1),"")))),""),"")</f>
        <v/>
      </c>
      <c r="Y110" s="391" t="str">
        <f ca="1">IFERROR(IF($O110,IF(AND(career_stage="P",teacher_type="R"),INDEX(INDIRECT("RPS["&amp;Y$10&amp;"]"),MATCH($H110,RPS[helper],0),1), IF(AND(career_stage="HP",teacher_type="R"), INDEX(INDIRECT("RHPS["&amp;Y$10&amp;"]"),MATCH($H110,RHPS[helper],0),1), IF(AND(career_stage="P",teacher_type="TB"),INDEX(INDIRECT("TBPS["&amp;Y$10&amp;"]"),MATCH($H110,TBPS[helper],0),1), IF(AND(career_stage="HP",teacher_type="TB"),INDEX(INDIRECT("TBHPS["&amp;Y$10&amp;"]"),MATCH($H110,TBHPS[helper],0),1),"")))),""),"")</f>
        <v/>
      </c>
      <c r="Z110" s="391" t="str">
        <f ca="1">IFERROR(IF($O110,IF(AND(career_stage="P",teacher_type="R"),INDEX(INDIRECT("RPS["&amp;Z$10&amp;"]"),MATCH($H110,RPS[helper],0),1), IF(AND(career_stage="HP",teacher_type="R"), INDEX(INDIRECT("RHPS["&amp;Z$10&amp;"]"),MATCH($H110,RHPS[helper],0),1), IF(AND(career_stage="P",teacher_type="TB"),INDEX(INDIRECT("TBPS["&amp;Z$10&amp;"]"),MATCH($H110,TBPS[helper],0),1), IF(AND(career_stage="HP",teacher_type="TB"),INDEX(INDIRECT("TBHPS["&amp;Z$10&amp;"]"),MATCH($H110,TBHPS[helper],0),1),"")))),""),"")</f>
        <v/>
      </c>
      <c r="AA110" s="391" t="str" cm="1">
        <f t="array" ref="AA110">IFERROR(INDEX(V110:Z110,6-AD108),"")</f>
        <v/>
      </c>
      <c r="AB110" s="680"/>
      <c r="AC110" s="680"/>
      <c r="AD110" s="680"/>
      <c r="AE110" s="682"/>
      <c r="AF110" s="661"/>
      <c r="AG110" s="5"/>
    </row>
    <row r="111" spans="1:33" hidden="1" x14ac:dyDescent="0.25">
      <c r="A111" s="92">
        <v>34</v>
      </c>
      <c r="B111" s="99" t="str" cm="1">
        <f t="array" ref="B111">IFERROR(IF(AND(teacher_type="R",career_stage="P"),INDEX(RPI[Strand],$A111),IF(AND(teacher_type="R",career_stage="HP"),INDEX(RHPI[Strand],$A111), IF(AND(teacher_type="TB",career_stage="P"),INDEX(TBPI[Strand],$A111), IF(AND(teacher_type="TB",career_stage="HP"),INDEX(TBHPI[Strand],$A111),0)))),0)</f>
        <v>7.2.2</v>
      </c>
      <c r="C111" s="99">
        <f>IFERROR(IF(AND(teacher_type="R",career_stage="P"),VLOOKUP($B111,RPI[[Strand]:[Domain]],COLUMNS(RPI[[Strand]:[Domain]]),FALSE), IF(AND(teacher_type="R",career_stage="HP"),VLOOKUP($B111,RHPI[[Strand]:[Domain]],COLUMNS(RHPI[[Strand]:[Domain]]),FALSE), IF(AND(teacher_type="TB",career_stage="P"),VLOOKUP($B111,TBPI[[Strand]:[Domain]],COLUMNS(TBPI[[Strand]:[Domain]]),FALSE), IF(AND(teacher_type="TB",career_stage="HP"),VLOOKUP($B111,TBHPI[[Strand]:[Domain]],COLUMNS(TBHPI[[Strand]:[Domain]]),FALSE),"")))),"")</f>
        <v>5</v>
      </c>
      <c r="D111" s="99" t="b">
        <f>IFERROR(IF(AND(career_stage="P",teacher_type="R"),VLOOKUP(B111,RPI[],COLUMNS(RPI[[Strand]:[Selected]]),FALSE), IF(AND(career_stage="HP",teacher_type="R"),VLOOKUP(B111,RHPI[],COLUMNS(RHPI[[Strand]:[Selected]]),FALSE), IF(AND(career_stage="P",teacher_type="TB"),VLOOKUP(B111,TBPI[],COLUMNS(TBPI[[Strand]:[Selected]]),FALSE), IF(AND(career_stage="HP",teacher_type="TB"),VLOOKUP(B111,TBHPI[],COLUMNS(TBHPI[[Strand]:[Selected]]),FALSE),FALSE)))),FALSE)</f>
        <v>0</v>
      </c>
      <c r="E111" s="92" t="b">
        <f>COUNTIFS($C$12:$C111,C111,$D$12:$D111,TRUE)=1</f>
        <v>0</v>
      </c>
      <c r="F111" s="92" t="b">
        <f>COUNTIFS($C$12:$C111,$C111,$B$12:$B111,$B111,$D$12:$D111,TRUE)=1</f>
        <v>0</v>
      </c>
      <c r="G111" s="99">
        <f>IF($F111,COUNTIFS($C$12:$C111,C111,$F$12:$F111,TRUE),0)</f>
        <v>0</v>
      </c>
      <c r="H111" s="99" t="str">
        <f t="shared" si="43"/>
        <v>7.2.2-Q</v>
      </c>
      <c r="I111" s="99">
        <f>IF(AND(D111,NOT($A111=$A110)),(COUNTIF($D$11:$D110,TRUE)/3)+1,0)</f>
        <v>0</v>
      </c>
      <c r="J111" s="99" t="s">
        <v>1012</v>
      </c>
      <c r="K111" s="99" t="b">
        <f>IF(AND(teacher_type="R",career_stage="P"),IF(AND(COUNTIFS(RPS[Strand],$B111,RPS[QET],$J111)&gt;0,$D111),TRUE,FALSE), IF(AND(teacher_type="R",career_stage="HP"),IF(AND(COUNTIFS(RHPS[Strand],$B111,RHPS[QET],$J111)&gt;0,$D111),TRUE,FALSE), IF(AND(teacher_type="TB",career_stage="P"),IF(AND(COUNTIFS(TBPS[Strand],$B111,TBPS[QET],$J111)&gt;0,$D111),TRUE,FALSE), IF(AND(teacher_type="TB",career_stage="HP"),IF(AND(COUNTIFS(TBHPS[Strand],$B111,TBHPS[QET],$J111)&gt;0,$D111),TRUE,FALSE),FALSE))))</f>
        <v>0</v>
      </c>
      <c r="L111" s="99" t="str">
        <f>IF($K111,IF(AND(teacher_type="R",career_stage="P"),VLOOKUP($B111,RPI[],COLUMNS(RPI[[Strand]:[user_selected_coi_ncoi]]),FALSE), IF(AND(teacher_type="R",career_stage="HP"),VLOOKUP($B111,RHPI[],COLUMNS(RHPI[[Strand]:[user_selected_coi_ncoi]]),FALSE), IF(AND(teacher_type="TB",career_stage="P"),VLOOKUP($B111,TBPI[],COLUMNS(TBPI[[Strand]:[user_selected_coi_ncoi]]),FALSE), IF(AND(teacher_type="TB",career_stage="HP"),VLOOKUP($B111,TBHPI[],COLUMNS(TBHPI[[Strand]:[user_selected_coi_ncoi]]),FALSE),"")))),"")</f>
        <v/>
      </c>
      <c r="M111" s="99" t="b">
        <f>IF(AND(teacher_type="R",career_stage="P"),IF(AND(COUNTIFS(RPS[Strand],$B111,RPS[QET],M$11)&gt;0,$D111),TRUE,FALSE),IF(AND(teacher_type="R",career_stage="HP"),IF(AND(COUNTIFS(RHPS[Strand],$B111,RHPS[QET],M$11)&gt;0,$D111),TRUE,FALSE), IF(AND(teacher_type="TB",career_stage="P"),IF(AND(COUNTIFS(TBPS[Strand],$B111,TBPS[QET],M$11)&gt;0,$D111),TRUE,FALSE), IF(AND(teacher_type="TB",career_stage="HP"),IF(AND(COUNTIFS(TBHPS[Strand],$B111,TBHPS[QET],M$11)&gt;0,$D111),TRUE,FALSE),FALSE))))</f>
        <v>0</v>
      </c>
      <c r="N111" s="99" t="b">
        <f>IF(AND(teacher_type="R",career_stage="P"),IF(AND(COUNTIFS(RPS[Strand],$B111,RPS[QET],N$11)&gt;0,$D111),TRUE,FALSE),IF(AND(teacher_type="R",career_stage="HP"),IF(AND(COUNTIFS(RHPS[Strand],$B111,RHPS[QET],N$11)&gt;0,$D111),TRUE,FALSE), IF(AND(teacher_type="TB",career_stage="P"),IF(AND(COUNTIFS(TBPS[Strand],$B111,TBPS[QET],N$11)&gt;0,$D111),TRUE,FALSE), IF(AND(teacher_type="TB",career_stage="HP"),IF(AND(COUNTIFS(TBHPS[Strand],$B111,TBHPS[QET],N$11)&gt;0,$D111),TRUE,FALSE),FALSE))))</f>
        <v>0</v>
      </c>
      <c r="O111" s="99" t="b">
        <f>IF(AND(teacher_type="R",career_stage="P"),IF(AND(COUNTIFS(RPS[Strand],$B111,RPS[QET],O$11)&gt;0,$D111),TRUE,FALSE),IF(AND(teacher_type="R",career_stage="HP"),IF(AND(COUNTIFS(RHPS[Strand],$B111,RHPS[QET],O$11)&gt;0,$D111),TRUE,FALSE), IF(AND(teacher_type="TB",career_stage="P"),IF(AND(COUNTIFS(TBPS[Strand],$B111,TBPS[QET],O$11)&gt;0,$D111),TRUE,FALSE), IF(AND(teacher_type="TB",career_stage="HP"),IF(AND(COUNTIFS(TBHPS[Strand],$B111,TBHPS[QET],O$11)&gt;0,$D111),TRUE,FALSE),FALSE))))</f>
        <v>0</v>
      </c>
      <c r="P111" s="710"/>
      <c r="Q111" s="662" t="str">
        <f>IFERROR(IF(E111,IF(C111="Plus Factor","Plus Factor",C111 &amp; ". " &amp; INDEX(Domains[Domain],MATCH(C111,Domains[Domain_code],0),1)),""),"")</f>
        <v/>
      </c>
      <c r="R111" s="663" t="str">
        <f>IFERROR(IF($F111,$I111 &amp; ". " &amp; IF(AND(career_stage="P",teacher_type="R"), INDEX(RPI[PPST Indicators],MATCH($B111,RPI[Strand],0),1), IF(AND(career_stage="HP",teacher_type="R"),INDEX(RHPI[PPST Indicators],MATCH($B111,RHPI[Strand],0),1), IF(AND(career_stage="P",teacher_type="TB"),INDEX(TBPI[PPST Indicators],MATCH($B111,TBPI[Strand],0),1), IF(AND(career_stage="HP",teacher_type="TB"),INDEX(TBHPI[PPST Indicators],MATCH($B111,TBHPI[Strand],0),1),"")))) &amp; IF(NOT(TRIM(LOWER($C111))="plus factor")," (PPST "&amp;B111&amp;")",""),""),"")</f>
        <v/>
      </c>
      <c r="S111" s="664" t="str" cm="1">
        <f t="array" ref="S111">demographics[rating_period]</f>
        <v>SY 2023-2024</v>
      </c>
      <c r="T111" s="678">
        <f>IFERROR(IF(AND(career_stage="P",teacher_type="R"),VLOOKUP(B111,RPI[],COLUMNS(RPI[[Strand]:[Weight]]),FALSE), IF(AND(career_stage="HP",teacher_type="R"),VLOOKUP(B111,RHPI[],COLUMNS(RHPI[[Strand]:[Weight]]),FALSE), IF(AND(career_stage="P",teacher_type="TB"),VLOOKUP(B111,TBPI[],COLUMNS(TBPI[[Strand]:[Weight]]),FALSE), IF(AND(career_stage="HP",teacher_type="TB"),VLOOKUP(B111,TBHPI[],COLUMNS(TBHPI[[Strand]:[Weight]]),FALSE),0)))),0)</f>
        <v>0</v>
      </c>
      <c r="U111" s="94" t="s">
        <v>1185</v>
      </c>
      <c r="V111" s="391" t="str">
        <f ca="1">IFERROR(IF($M111,IF(AND(career_stage="P",teacher_type="R"),INDEX(INDIRECT("RPS["&amp;V$10&amp;"]"),MATCH($H111,RPS[helper],0),1), IF(AND(career_stage="HP",teacher_type="R"), INDEX(INDIRECT("RHPS["&amp;V$10&amp;"]"),MATCH($H111,RHPS[helper],0),1), IF(AND(career_stage="P",teacher_type="TB"),INDEX(INDIRECT("TBPS["&amp;V$10&amp;"]"),MATCH($H111,TBPS[helper],0),1), IF(AND(career_stage="HP",teacher_type="TB"),INDEX(INDIRECT("TBHPS["&amp;V$10&amp;"]"),MATCH($H111,TBHPS[helper],0),1),"")))),""),"")</f>
        <v/>
      </c>
      <c r="W111" s="391" t="str">
        <f ca="1">IFERROR(IF($M111,IF(AND(career_stage="P",teacher_type="R"),INDEX(INDIRECT("RPS["&amp;W$10&amp;"]"),MATCH($H111,RPS[helper],0),1), IF(AND(career_stage="HP",teacher_type="R"), INDEX(INDIRECT("RHPS["&amp;W$10&amp;"]"),MATCH($H111,RHPS[helper],0),1), IF(AND(career_stage="P",teacher_type="TB"),INDEX(INDIRECT("TBPS["&amp;W$10&amp;"]"),MATCH($H111,TBPS[helper],0),1), IF(AND(career_stage="HP",teacher_type="TB"),INDEX(INDIRECT("TBHPS["&amp;W$10&amp;"]"),MATCH($H111,TBHPS[helper],0),1),"")))),""),"")</f>
        <v/>
      </c>
      <c r="X111" s="391" t="str">
        <f ca="1">IFERROR(IF($M111,IF(AND(career_stage="P",teacher_type="R"),INDEX(INDIRECT("RPS["&amp;X$10&amp;"]"),MATCH($H111,RPS[helper],0),1), IF(AND(career_stage="HP",teacher_type="R"), INDEX(INDIRECT("RHPS["&amp;X$10&amp;"]"),MATCH($H111,RHPS[helper],0),1), IF(AND(career_stage="P",teacher_type="TB"),INDEX(INDIRECT("TBPS["&amp;X$10&amp;"]"),MATCH($H111,TBPS[helper],0),1), IF(AND(career_stage="HP",teacher_type="TB"),INDEX(INDIRECT("TBHPS["&amp;X$10&amp;"]"),MATCH($H111,TBHPS[helper],0),1),"")))),""),"")</f>
        <v/>
      </c>
      <c r="Y111" s="391" t="str">
        <f ca="1">IFERROR(IF($M111,IF(AND(career_stage="P",teacher_type="R"),INDEX(INDIRECT("RPS["&amp;Y$10&amp;"]"),MATCH($H111,RPS[helper],0),1), IF(AND(career_stage="HP",teacher_type="R"), INDEX(INDIRECT("RHPS["&amp;Y$10&amp;"]"),MATCH($H111,RHPS[helper],0),1), IF(AND(career_stage="P",teacher_type="TB"),INDEX(INDIRECT("TBPS["&amp;Y$10&amp;"]"),MATCH($H111,TBPS[helper],0),1), IF(AND(career_stage="HP",teacher_type="TB"),INDEX(INDIRECT("TBHPS["&amp;Y$10&amp;"]"),MATCH($H111,TBHPS[helper],0),1),"")))),""),"")</f>
        <v/>
      </c>
      <c r="Z111" s="391" t="str">
        <f ca="1">IFERROR(IF($M111,IF(AND(career_stage="P",teacher_type="R"),INDEX(INDIRECT("RPS["&amp;Z$10&amp;"]"),MATCH($H111,RPS[helper],0),1), IF(AND(career_stage="HP",teacher_type="R"), INDEX(INDIRECT("RHPS["&amp;Z$10&amp;"]"),MATCH($H111,RHPS[helper],0),1), IF(AND(career_stage="P",teacher_type="TB"),INDEX(INDIRECT("TBPS["&amp;Z$10&amp;"]"),MATCH($H111,TBPS[helper],0),1), IF(AND(career_stage="HP",teacher_type="TB"),INDEX(INDIRECT("TBHPS["&amp;Z$10&amp;"]"),MATCH($H111,TBHPS[helper],0),1),"")))),""),"")</f>
        <v/>
      </c>
      <c r="AA111" s="392" t="str" cm="1">
        <f t="array" ref="AA111">IFERROR(INDEX(V111:Z111,6-AB111),"")</f>
        <v/>
      </c>
      <c r="AB111" s="680" t="str">
        <f>IF('Encoding Part 1'!AB55="","",'Encoding Part 1'!AB55)</f>
        <v/>
      </c>
      <c r="AC111" s="680" t="str">
        <f>IF('Encoding Part 1'!AC55="","",'Encoding Part 1'!AC55)</f>
        <v/>
      </c>
      <c r="AD111" s="680" t="str">
        <f>IF('Encoding Part 1'!AD55="","",'Encoding Part 1'!AD55)</f>
        <v/>
      </c>
      <c r="AE111" s="682">
        <f t="shared" ref="AE111" si="66">IFERROR(ROUNDDOWN(AVERAGE($AB111:$AD111),3),0)</f>
        <v>0</v>
      </c>
      <c r="AF111" s="661">
        <f t="shared" ref="AF111" si="67">ROUNDDOWN($AE111*$T111,3)</f>
        <v>0</v>
      </c>
      <c r="AG111" s="5"/>
    </row>
    <row r="112" spans="1:33" hidden="1" x14ac:dyDescent="0.25">
      <c r="A112" s="92">
        <v>34</v>
      </c>
      <c r="B112" s="99" t="str" cm="1">
        <f t="array" ref="B112">IFERROR(IF(AND(teacher_type="R",career_stage="P"),INDEX(RPI[Strand],$A112),IF(AND(teacher_type="R",career_stage="HP"),INDEX(RHPI[Strand],$A112), IF(AND(teacher_type="TB",career_stage="P"),INDEX(TBPI[Strand],$A112), IF(AND(teacher_type="TB",career_stage="HP"),INDEX(TBHPI[Strand],$A112),0)))),0)</f>
        <v>7.2.2</v>
      </c>
      <c r="C112" s="99">
        <f>IFERROR(IF(AND(teacher_type="R",career_stage="P"),VLOOKUP($B112,RPI[[Strand]:[Domain]],COLUMNS(RPI[[Strand]:[Domain]]),FALSE), IF(AND(teacher_type="R",career_stage="HP"),VLOOKUP($B112,RHPI[[Strand]:[Domain]],COLUMNS(RHPI[[Strand]:[Domain]]),FALSE), IF(AND(teacher_type="TB",career_stage="P"),VLOOKUP($B112,TBPI[[Strand]:[Domain]],COLUMNS(TBPI[[Strand]:[Domain]]),FALSE), IF(AND(teacher_type="TB",career_stage="HP"),VLOOKUP($B112,TBHPI[[Strand]:[Domain]],COLUMNS(TBHPI[[Strand]:[Domain]]),FALSE),"")))),"")</f>
        <v>5</v>
      </c>
      <c r="D112" s="99" t="b">
        <f>IFERROR(IF(AND(career_stage="P",teacher_type="R"),VLOOKUP(B112,RPI[],COLUMNS(RPI[[Strand]:[Selected]]),FALSE), IF(AND(career_stage="HP",teacher_type="R"),VLOOKUP(B112,RHPI[],COLUMNS(RHPI[[Strand]:[Selected]]),FALSE), IF(AND(career_stage="P",teacher_type="TB"),VLOOKUP(B112,TBPI[],COLUMNS(TBPI[[Strand]:[Selected]]),FALSE), IF(AND(career_stage="HP",teacher_type="TB"),VLOOKUP(B112,TBHPI[],COLUMNS(TBHPI[[Strand]:[Selected]]),FALSE),FALSE)))),FALSE)</f>
        <v>0</v>
      </c>
      <c r="E112" s="92" t="b">
        <f>COUNTIFS($C$12:$C112,C112,$D$12:$D112,TRUE)=1</f>
        <v>0</v>
      </c>
      <c r="F112" s="92" t="b">
        <f>COUNTIFS($C$12:$C112,$C112,$B$12:$B112,$B112,$D$12:$D112,TRUE)=1</f>
        <v>0</v>
      </c>
      <c r="G112" s="99">
        <f>IF($F112,COUNTIFS($C$12:$C112,C112,$F$12:$F112,TRUE),0)</f>
        <v>0</v>
      </c>
      <c r="H112" s="99" t="str">
        <f t="shared" si="43"/>
        <v>7.2.2-E</v>
      </c>
      <c r="I112" s="99">
        <f>IF(AND(D112,NOT($A112=$A111)),(COUNTIF($D$11:$D111,TRUE)/3)+1,0)</f>
        <v>0</v>
      </c>
      <c r="J112" s="99" t="s">
        <v>1073</v>
      </c>
      <c r="K112" s="99" t="b">
        <f>IF(AND(teacher_type="R",career_stage="P"),IF(AND(COUNTIFS(RPS[Strand],$B112,RPS[QET],$J112)&gt;0,$D112),TRUE,FALSE), IF(AND(teacher_type="R",career_stage="HP"),IF(AND(COUNTIFS(RHPS[Strand],$B112,RHPS[QET],$J112)&gt;0,$D112),TRUE,FALSE), IF(AND(teacher_type="TB",career_stage="P"),IF(AND(COUNTIFS(TBPS[Strand],$B112,TBPS[QET],$J112)&gt;0,$D112),TRUE,FALSE), IF(AND(teacher_type="TB",career_stage="HP"),IF(AND(COUNTIFS(TBHPS[Strand],$B112,TBHPS[QET],$J112)&gt;0,$D112),TRUE,FALSE),FALSE))))</f>
        <v>0</v>
      </c>
      <c r="L112" s="99" t="str">
        <f>IF($K112,IF(AND(teacher_type="R",career_stage="P"),VLOOKUP($B112,RPI[],COLUMNS(RPI[[Strand]:[user_selected_coi_ncoi]]),FALSE), IF(AND(teacher_type="R",career_stage="HP"),VLOOKUP($B112,RHPI[],COLUMNS(RHPI[[Strand]:[user_selected_coi_ncoi]]),FALSE), IF(AND(teacher_type="TB",career_stage="P"),VLOOKUP($B112,TBPI[],COLUMNS(TBPI[[Strand]:[user_selected_coi_ncoi]]),FALSE), IF(AND(teacher_type="TB",career_stage="HP"),VLOOKUP($B112,TBHPI[],COLUMNS(TBHPI[[Strand]:[user_selected_coi_ncoi]]),FALSE),"")))),"")</f>
        <v/>
      </c>
      <c r="M112" s="99" t="b">
        <f>IF(AND(teacher_type="R",career_stage="P"),IF(AND(COUNTIFS(RPS[Strand],$B112,RPS[QET],M$11)&gt;0,$D112),TRUE,FALSE),IF(AND(teacher_type="R",career_stage="HP"),IF(AND(COUNTIFS(RHPS[Strand],$B112,RHPS[QET],M$11)&gt;0,$D112),TRUE,FALSE), IF(AND(teacher_type="TB",career_stage="P"),IF(AND(COUNTIFS(TBPS[Strand],$B112,TBPS[QET],M$11)&gt;0,$D112),TRUE,FALSE), IF(AND(teacher_type="TB",career_stage="HP"),IF(AND(COUNTIFS(TBHPS[Strand],$B112,TBHPS[QET],M$11)&gt;0,$D112),TRUE,FALSE),FALSE))))</f>
        <v>0</v>
      </c>
      <c r="N112" s="99" t="b">
        <f>IF(AND(teacher_type="R",career_stage="P"),IF(AND(COUNTIFS(RPS[Strand],$B112,RPS[QET],N$11)&gt;0,$D112),TRUE,FALSE),IF(AND(teacher_type="R",career_stage="HP"),IF(AND(COUNTIFS(RHPS[Strand],$B112,RHPS[QET],N$11)&gt;0,$D112),TRUE,FALSE), IF(AND(teacher_type="TB",career_stage="P"),IF(AND(COUNTIFS(TBPS[Strand],$B112,TBPS[QET],N$11)&gt;0,$D112),TRUE,FALSE), IF(AND(teacher_type="TB",career_stage="HP"),IF(AND(COUNTIFS(TBHPS[Strand],$B112,TBHPS[QET],N$11)&gt;0,$D112),TRUE,FALSE),FALSE))))</f>
        <v>0</v>
      </c>
      <c r="O112" s="99" t="b">
        <f>IF(AND(teacher_type="R",career_stage="P"),IF(AND(COUNTIFS(RPS[Strand],$B112,RPS[QET],O$11)&gt;0,$D112),TRUE,FALSE),IF(AND(teacher_type="R",career_stage="HP"),IF(AND(COUNTIFS(RHPS[Strand],$B112,RHPS[QET],O$11)&gt;0,$D112),TRUE,FALSE), IF(AND(teacher_type="TB",career_stage="P"),IF(AND(COUNTIFS(TBPS[Strand],$B112,TBPS[QET],O$11)&gt;0,$D112),TRUE,FALSE), IF(AND(teacher_type="TB",career_stage="HP"),IF(AND(COUNTIFS(TBHPS[Strand],$B112,TBHPS[QET],O$11)&gt;0,$D112),TRUE,FALSE),FALSE))))</f>
        <v>0</v>
      </c>
      <c r="P112" s="710"/>
      <c r="Q112" s="662"/>
      <c r="R112" s="663"/>
      <c r="S112" s="664"/>
      <c r="T112" s="678"/>
      <c r="U112" s="94" t="s">
        <v>1186</v>
      </c>
      <c r="V112" s="391" t="str">
        <f ca="1">IFERROR(IF($N112,IF(AND(career_stage="P",teacher_type="R"),INDEX(INDIRECT("RPS["&amp;V$10&amp;"]"),MATCH($H112,RPS[helper],0),1), IF(AND(career_stage="HP",teacher_type="R"), INDEX(INDIRECT("RHPS["&amp;V$10&amp;"]"),MATCH($H112,RHPS[helper],0),1), IF(AND(career_stage="P",teacher_type="TB"),INDEX(INDIRECT("TBPS["&amp;V$10&amp;"]"),MATCH($H112,TBPS[helper],0),1), IF(AND(career_stage="HP",teacher_type="TB"),INDEX(INDIRECT("TBHPS["&amp;V$10&amp;"]"),MATCH($H112,TBHPS[helper],0),1),"")))),""),"")</f>
        <v/>
      </c>
      <c r="W112" s="391" t="str">
        <f ca="1">IFERROR(IF($N112,IF(AND(career_stage="P",teacher_type="R"),INDEX(INDIRECT("RPS["&amp;W$10&amp;"]"),MATCH($H112,RPS[helper],0),1), IF(AND(career_stage="HP",teacher_type="R"), INDEX(INDIRECT("RHPS["&amp;W$10&amp;"]"),MATCH($H112,RHPS[helper],0),1), IF(AND(career_stage="P",teacher_type="TB"),INDEX(INDIRECT("TBPS["&amp;W$10&amp;"]"),MATCH($H112,TBPS[helper],0),1), IF(AND(career_stage="HP",teacher_type="TB"),INDEX(INDIRECT("TBHPS["&amp;W$10&amp;"]"),MATCH($H112,TBHPS[helper],0),1),"")))),""),"")</f>
        <v/>
      </c>
      <c r="X112" s="391" t="str">
        <f ca="1">IFERROR(IF($N112,IF(AND(career_stage="P",teacher_type="R"),INDEX(INDIRECT("RPS["&amp;X$10&amp;"]"),MATCH($H112,RPS[helper],0),1), IF(AND(career_stage="HP",teacher_type="R"), INDEX(INDIRECT("RHPS["&amp;X$10&amp;"]"),MATCH($H112,RHPS[helper],0),1), IF(AND(career_stage="P",teacher_type="TB"),INDEX(INDIRECT("TBPS["&amp;X$10&amp;"]"),MATCH($H112,TBPS[helper],0),1), IF(AND(career_stage="HP",teacher_type="TB"),INDEX(INDIRECT("TBHPS["&amp;X$10&amp;"]"),MATCH($H112,TBHPS[helper],0),1),"")))),""),"")</f>
        <v/>
      </c>
      <c r="Y112" s="391" t="str">
        <f ca="1">IFERROR(IF($N112,IF(AND(career_stage="P",teacher_type="R"),INDEX(INDIRECT("RPS["&amp;Y$10&amp;"]"),MATCH($H112,RPS[helper],0),1), IF(AND(career_stage="HP",teacher_type="R"), INDEX(INDIRECT("RHPS["&amp;Y$10&amp;"]"),MATCH($H112,RHPS[helper],0),1), IF(AND(career_stage="P",teacher_type="TB"),INDEX(INDIRECT("TBPS["&amp;Y$10&amp;"]"),MATCH($H112,TBPS[helper],0),1), IF(AND(career_stage="HP",teacher_type="TB"),INDEX(INDIRECT("TBHPS["&amp;Y$10&amp;"]"),MATCH($H112,TBHPS[helper],0),1),"")))),""),"")</f>
        <v/>
      </c>
      <c r="Z112" s="391" t="str">
        <f ca="1">IFERROR(IF($N112,IF(AND(career_stage="P",teacher_type="R"),INDEX(INDIRECT("RPS["&amp;Z$10&amp;"]"),MATCH($H112,RPS[helper],0),1), IF(AND(career_stage="HP",teacher_type="R"), INDEX(INDIRECT("RHPS["&amp;Z$10&amp;"]"),MATCH($H112,RHPS[helper],0),1), IF(AND(career_stage="P",teacher_type="TB"),INDEX(INDIRECT("TBPS["&amp;Z$10&amp;"]"),MATCH($H112,TBPS[helper],0),1), IF(AND(career_stage="HP",teacher_type="TB"),INDEX(INDIRECT("TBHPS["&amp;Z$10&amp;"]"),MATCH($H112,TBHPS[helper],0),1),"")))),""),"")</f>
        <v/>
      </c>
      <c r="AA112" s="392" t="str" cm="1">
        <f t="array" ref="AA112">IFERROR(INDEX(V112:Z112,6-AC111),"")</f>
        <v/>
      </c>
      <c r="AB112" s="680"/>
      <c r="AC112" s="680"/>
      <c r="AD112" s="680"/>
      <c r="AE112" s="682"/>
      <c r="AF112" s="661"/>
      <c r="AG112" s="5"/>
    </row>
    <row r="113" spans="1:33" hidden="1" x14ac:dyDescent="0.25">
      <c r="A113" s="92">
        <v>34</v>
      </c>
      <c r="B113" s="99" t="str" cm="1">
        <f t="array" ref="B113">IFERROR(IF(AND(teacher_type="R",career_stage="P"),INDEX(RPI[Strand],$A113),IF(AND(teacher_type="R",career_stage="HP"),INDEX(RHPI[Strand],$A113), IF(AND(teacher_type="TB",career_stage="P"),INDEX(TBPI[Strand],$A113), IF(AND(teacher_type="TB",career_stage="HP"),INDEX(TBHPI[Strand],$A113),0)))),0)</f>
        <v>7.2.2</v>
      </c>
      <c r="C113" s="99">
        <f>IFERROR(IF(AND(teacher_type="R",career_stage="P"),VLOOKUP($B113,RPI[[Strand]:[Domain]],COLUMNS(RPI[[Strand]:[Domain]]),FALSE), IF(AND(teacher_type="R",career_stage="HP"),VLOOKUP($B113,RHPI[[Strand]:[Domain]],COLUMNS(RHPI[[Strand]:[Domain]]),FALSE), IF(AND(teacher_type="TB",career_stage="P"),VLOOKUP($B113,TBPI[[Strand]:[Domain]],COLUMNS(TBPI[[Strand]:[Domain]]),FALSE), IF(AND(teacher_type="TB",career_stage="HP"),VLOOKUP($B113,TBHPI[[Strand]:[Domain]],COLUMNS(TBHPI[[Strand]:[Domain]]),FALSE),"")))),"")</f>
        <v>5</v>
      </c>
      <c r="D113" s="99" t="b">
        <f>IFERROR(IF(AND(career_stage="P",teacher_type="R"),VLOOKUP(B113,RPI[],COLUMNS(RPI[[Strand]:[Selected]]),FALSE), IF(AND(career_stage="HP",teacher_type="R"),VLOOKUP(B113,RHPI[],COLUMNS(RHPI[[Strand]:[Selected]]),FALSE), IF(AND(career_stage="P",teacher_type="TB"),VLOOKUP(B113,TBPI[],COLUMNS(TBPI[[Strand]:[Selected]]),FALSE), IF(AND(career_stage="HP",teacher_type="TB"),VLOOKUP(B113,TBHPI[],COLUMNS(TBHPI[[Strand]:[Selected]]),FALSE),FALSE)))),FALSE)</f>
        <v>0</v>
      </c>
      <c r="E113" s="92" t="b">
        <f>COUNTIFS($C$12:$C113,C113,$D$12:$D113,TRUE)=1</f>
        <v>0</v>
      </c>
      <c r="F113" s="92" t="b">
        <f>COUNTIFS($C$12:$C113,$C113,$B$12:$B113,$B113,$D$12:$D113,TRUE)=1</f>
        <v>0</v>
      </c>
      <c r="G113" s="99">
        <f>IF($F113,COUNTIFS($C$12:$C113,C113,$F$12:$F113,TRUE),0)</f>
        <v>0</v>
      </c>
      <c r="H113" s="99" t="str">
        <f t="shared" si="43"/>
        <v>7.2.2-T</v>
      </c>
      <c r="I113" s="99">
        <f>IF(AND(D113,NOT($A113=$A112)),(COUNTIF($D$11:$D112,TRUE)/3)+1,0)</f>
        <v>0</v>
      </c>
      <c r="J113" s="99" t="s">
        <v>1014</v>
      </c>
      <c r="K113" s="99" t="b">
        <f>IF(AND(teacher_type="R",career_stage="P"),IF(AND(COUNTIFS(RPS[Strand],$B113,RPS[QET],$J113)&gt;0,$D113),TRUE,FALSE), IF(AND(teacher_type="R",career_stage="HP"),IF(AND(COUNTIFS(RHPS[Strand],$B113,RHPS[QET],$J113)&gt;0,$D113),TRUE,FALSE), IF(AND(teacher_type="TB",career_stage="P"),IF(AND(COUNTIFS(TBPS[Strand],$B113,TBPS[QET],$J113)&gt;0,$D113),TRUE,FALSE), IF(AND(teacher_type="TB",career_stage="HP"),IF(AND(COUNTIFS(TBHPS[Strand],$B113,TBHPS[QET],$J113)&gt;0,$D113),TRUE,FALSE),FALSE))))</f>
        <v>0</v>
      </c>
      <c r="L113" s="99" t="str">
        <f>IF($K113,IF(AND(teacher_type="R",career_stage="P"),VLOOKUP($B113,RPI[],COLUMNS(RPI[[Strand]:[user_selected_coi_ncoi]]),FALSE), IF(AND(teacher_type="R",career_stage="HP"),VLOOKUP($B113,RHPI[],COLUMNS(RHPI[[Strand]:[user_selected_coi_ncoi]]),FALSE), IF(AND(teacher_type="TB",career_stage="P"),VLOOKUP($B113,TBPI[],COLUMNS(TBPI[[Strand]:[user_selected_coi_ncoi]]),FALSE), IF(AND(teacher_type="TB",career_stage="HP"),VLOOKUP($B113,TBHPI[],COLUMNS(TBHPI[[Strand]:[user_selected_coi_ncoi]]),FALSE),"")))),"")</f>
        <v/>
      </c>
      <c r="M113" s="99" t="b">
        <f>IF(AND(teacher_type="R",career_stage="P"),IF(AND(COUNTIFS(RPS[Strand],$B113,RPS[QET],M$11)&gt;0,$D113),TRUE,FALSE),IF(AND(teacher_type="R",career_stage="HP"),IF(AND(COUNTIFS(RHPS[Strand],$B113,RHPS[QET],M$11)&gt;0,$D113),TRUE,FALSE), IF(AND(teacher_type="TB",career_stage="P"),IF(AND(COUNTIFS(TBPS[Strand],$B113,TBPS[QET],M$11)&gt;0,$D113),TRUE,FALSE), IF(AND(teacher_type="TB",career_stage="HP"),IF(AND(COUNTIFS(TBHPS[Strand],$B113,TBHPS[QET],M$11)&gt;0,$D113),TRUE,FALSE),FALSE))))</f>
        <v>0</v>
      </c>
      <c r="N113" s="99" t="b">
        <f>IF(AND(teacher_type="R",career_stage="P"),IF(AND(COUNTIFS(RPS[Strand],$B113,RPS[QET],N$11)&gt;0,$D113),TRUE,FALSE),IF(AND(teacher_type="R",career_stage="HP"),IF(AND(COUNTIFS(RHPS[Strand],$B113,RHPS[QET],N$11)&gt;0,$D113),TRUE,FALSE), IF(AND(teacher_type="TB",career_stage="P"),IF(AND(COUNTIFS(TBPS[Strand],$B113,TBPS[QET],N$11)&gt;0,$D113),TRUE,FALSE), IF(AND(teacher_type="TB",career_stage="HP"),IF(AND(COUNTIFS(TBHPS[Strand],$B113,TBHPS[QET],N$11)&gt;0,$D113),TRUE,FALSE),FALSE))))</f>
        <v>0</v>
      </c>
      <c r="O113" s="99" t="b">
        <f>IF(AND(teacher_type="R",career_stage="P"),IF(AND(COUNTIFS(RPS[Strand],$B113,RPS[QET],O$11)&gt;0,$D113),TRUE,FALSE),IF(AND(teacher_type="R",career_stage="HP"),IF(AND(COUNTIFS(RHPS[Strand],$B113,RHPS[QET],O$11)&gt;0,$D113),TRUE,FALSE), IF(AND(teacher_type="TB",career_stage="P"),IF(AND(COUNTIFS(TBPS[Strand],$B113,TBPS[QET],O$11)&gt;0,$D113),TRUE,FALSE), IF(AND(teacher_type="TB",career_stage="HP"),IF(AND(COUNTIFS(TBHPS[Strand],$B113,TBHPS[QET],O$11)&gt;0,$D113),TRUE,FALSE),FALSE))))</f>
        <v>0</v>
      </c>
      <c r="P113" s="710"/>
      <c r="Q113" s="662"/>
      <c r="R113" s="663"/>
      <c r="S113" s="664"/>
      <c r="T113" s="678"/>
      <c r="U113" s="94" t="s">
        <v>1187</v>
      </c>
      <c r="V113" s="391" t="str">
        <f ca="1">IFERROR(IF($O113,IF(AND(career_stage="P",teacher_type="R"),INDEX(INDIRECT("RPS["&amp;V$10&amp;"]"),MATCH($H113,RPS[helper],0),1), IF(AND(career_stage="HP",teacher_type="R"), INDEX(INDIRECT("RHPS["&amp;V$10&amp;"]"),MATCH($H113,RHPS[helper],0),1), IF(AND(career_stage="P",teacher_type="TB"),INDEX(INDIRECT("TBPS["&amp;V$10&amp;"]"),MATCH($H113,TBPS[helper],0),1), IF(AND(career_stage="HP",teacher_type="TB"),INDEX(INDIRECT("TBHPS["&amp;V$10&amp;"]"),MATCH($H113,TBHPS[helper],0),1),"")))),""),"")</f>
        <v/>
      </c>
      <c r="W113" s="391" t="str">
        <f ca="1">IFERROR(IF($O113,IF(AND(career_stage="P",teacher_type="R"),INDEX(INDIRECT("RPS["&amp;W$10&amp;"]"),MATCH($H113,RPS[helper],0),1), IF(AND(career_stage="HP",teacher_type="R"), INDEX(INDIRECT("RHPS["&amp;W$10&amp;"]"),MATCH($H113,RHPS[helper],0),1), IF(AND(career_stage="P",teacher_type="TB"),INDEX(INDIRECT("TBPS["&amp;W$10&amp;"]"),MATCH($H113,TBPS[helper],0),1), IF(AND(career_stage="HP",teacher_type="TB"),INDEX(INDIRECT("TBHPS["&amp;W$10&amp;"]"),MATCH($H113,TBHPS[helper],0),1),"")))),""),"")</f>
        <v/>
      </c>
      <c r="X113" s="391" t="str">
        <f ca="1">IFERROR(IF($O113,IF(AND(career_stage="P",teacher_type="R"),INDEX(INDIRECT("RPS["&amp;X$10&amp;"]"),MATCH($H113,RPS[helper],0),1), IF(AND(career_stage="HP",teacher_type="R"), INDEX(INDIRECT("RHPS["&amp;X$10&amp;"]"),MATCH($H113,RHPS[helper],0),1), IF(AND(career_stage="P",teacher_type="TB"),INDEX(INDIRECT("TBPS["&amp;X$10&amp;"]"),MATCH($H113,TBPS[helper],0),1), IF(AND(career_stage="HP",teacher_type="TB"),INDEX(INDIRECT("TBHPS["&amp;X$10&amp;"]"),MATCH($H113,TBHPS[helper],0),1),"")))),""),"")</f>
        <v/>
      </c>
      <c r="Y113" s="391" t="str">
        <f ca="1">IFERROR(IF($O113,IF(AND(career_stage="P",teacher_type="R"),INDEX(INDIRECT("RPS["&amp;Y$10&amp;"]"),MATCH($H113,RPS[helper],0),1), IF(AND(career_stage="HP",teacher_type="R"), INDEX(INDIRECT("RHPS["&amp;Y$10&amp;"]"),MATCH($H113,RHPS[helper],0),1), IF(AND(career_stage="P",teacher_type="TB"),INDEX(INDIRECT("TBPS["&amp;Y$10&amp;"]"),MATCH($H113,TBPS[helper],0),1), IF(AND(career_stage="HP",teacher_type="TB"),INDEX(INDIRECT("TBHPS["&amp;Y$10&amp;"]"),MATCH($H113,TBHPS[helper],0),1),"")))),""),"")</f>
        <v/>
      </c>
      <c r="Z113" s="391" t="str">
        <f ca="1">IFERROR(IF($O113,IF(AND(career_stage="P",teacher_type="R"),INDEX(INDIRECT("RPS["&amp;Z$10&amp;"]"),MATCH($H113,RPS[helper],0),1), IF(AND(career_stage="HP",teacher_type="R"), INDEX(INDIRECT("RHPS["&amp;Z$10&amp;"]"),MATCH($H113,RHPS[helper],0),1), IF(AND(career_stage="P",teacher_type="TB"),INDEX(INDIRECT("TBPS["&amp;Z$10&amp;"]"),MATCH($H113,TBPS[helper],0),1), IF(AND(career_stage="HP",teacher_type="TB"),INDEX(INDIRECT("TBHPS["&amp;Z$10&amp;"]"),MATCH($H113,TBHPS[helper],0),1),"")))),""),"")</f>
        <v/>
      </c>
      <c r="AA113" s="391" t="str" cm="1">
        <f t="array" ref="AA113">IFERROR(INDEX(V113:Z113,6-AD111),"")</f>
        <v/>
      </c>
      <c r="AB113" s="680"/>
      <c r="AC113" s="680"/>
      <c r="AD113" s="680"/>
      <c r="AE113" s="682"/>
      <c r="AF113" s="661"/>
      <c r="AG113" s="5"/>
    </row>
    <row r="114" spans="1:33" ht="140.25" x14ac:dyDescent="0.25">
      <c r="A114" s="92">
        <v>35</v>
      </c>
      <c r="B114" s="99" t="str" cm="1">
        <f t="array" ref="B114">IFERROR(IF(AND(teacher_type="R",career_stage="P"),INDEX(RPI[Strand],$A114),IF(AND(teacher_type="R",career_stage="HP"),INDEX(RHPI[Strand],$A114), IF(AND(teacher_type="TB",career_stage="P"),INDEX(TBPI[Strand],$A114), IF(AND(teacher_type="TB",career_stage="HP"),INDEX(TBHPI[Strand],$A114),0)))),0)</f>
        <v>7.3.2</v>
      </c>
      <c r="C114" s="99">
        <f>IFERROR(IF(AND(teacher_type="R",career_stage="P"),VLOOKUP($B114,RPI[[Strand]:[Domain]],COLUMNS(RPI[[Strand]:[Domain]]),FALSE), IF(AND(teacher_type="R",career_stage="HP"),VLOOKUP($B114,RHPI[[Strand]:[Domain]],COLUMNS(RHPI[[Strand]:[Domain]]),FALSE), IF(AND(teacher_type="TB",career_stage="P"),VLOOKUP($B114,TBPI[[Strand]:[Domain]],COLUMNS(TBPI[[Strand]:[Domain]]),FALSE), IF(AND(teacher_type="TB",career_stage="HP"),VLOOKUP($B114,TBHPI[[Strand]:[Domain]],COLUMNS(TBHPI[[Strand]:[Domain]]),FALSE),"")))),"")</f>
        <v>4</v>
      </c>
      <c r="D114" s="99" t="b">
        <f>IFERROR(IF(AND(career_stage="P",teacher_type="R"),VLOOKUP(B114,RPI[],COLUMNS(RPI[[Strand]:[Selected]]),FALSE), IF(AND(career_stage="HP",teacher_type="R"),VLOOKUP(B114,RHPI[],COLUMNS(RHPI[[Strand]:[Selected]]),FALSE), IF(AND(career_stage="P",teacher_type="TB"),VLOOKUP(B114,TBPI[],COLUMNS(TBPI[[Strand]:[Selected]]),FALSE), IF(AND(career_stage="HP",teacher_type="TB"),VLOOKUP(B114,TBHPI[],COLUMNS(TBHPI[[Strand]:[Selected]]),FALSE),FALSE)))),FALSE)</f>
        <v>1</v>
      </c>
      <c r="E114" s="92" t="b">
        <f>COUNTIFS($C$12:$C114,C114,$D$12:$D114,TRUE)=1</f>
        <v>0</v>
      </c>
      <c r="F114" s="92" t="b">
        <f>COUNTIFS($C$12:$C114,$C114,$B$12:$B114,$B114,$D$12:$D114,TRUE)=1</f>
        <v>1</v>
      </c>
      <c r="G114" s="99">
        <f>IF($F114,COUNTIFS($C$12:$C114,C114,$F$12:$F114,TRUE),0)</f>
        <v>2</v>
      </c>
      <c r="H114" s="99" t="str">
        <f t="shared" si="43"/>
        <v>7.3.2-Q-NCOI</v>
      </c>
      <c r="I114" s="99">
        <f>IF(AND(D114,NOT($A114=$A113)),(COUNTIF($D$11:$D113,TRUE)/3)+1,0)</f>
        <v>13</v>
      </c>
      <c r="J114" s="99" t="s">
        <v>1012</v>
      </c>
      <c r="K114" s="99" t="b">
        <f>IF(AND(teacher_type="R",career_stage="P"),IF(AND(COUNTIFS(RPS[Strand],$B114,RPS[QET],$J114)&gt;0,$D114),TRUE,FALSE), IF(AND(teacher_type="R",career_stage="HP"),IF(AND(COUNTIFS(RHPS[Strand],$B114,RHPS[QET],$J114)&gt;0,$D114),TRUE,FALSE), IF(AND(teacher_type="TB",career_stage="P"),IF(AND(COUNTIFS(TBPS[Strand],$B114,TBPS[QET],$J114)&gt;0,$D114),TRUE,FALSE), IF(AND(teacher_type="TB",career_stage="HP"),IF(AND(COUNTIFS(TBHPS[Strand],$B114,TBHPS[QET],$J114)&gt;0,$D114),TRUE,FALSE),FALSE))))</f>
        <v>1</v>
      </c>
      <c r="L114" s="99" t="str">
        <f>IF($K114,IF(AND(teacher_type="R",career_stage="P"),VLOOKUP($B114,RPI[],COLUMNS(RPI[[Strand]:[user_selected_coi_ncoi]]),FALSE), IF(AND(teacher_type="R",career_stage="HP"),VLOOKUP($B114,RHPI[],COLUMNS(RHPI[[Strand]:[user_selected_coi_ncoi]]),FALSE), IF(AND(teacher_type="TB",career_stage="P"),VLOOKUP($B114,TBPI[],COLUMNS(TBPI[[Strand]:[user_selected_coi_ncoi]]),FALSE), IF(AND(teacher_type="TB",career_stage="HP"),VLOOKUP($B114,TBHPI[],COLUMNS(TBHPI[[Strand]:[user_selected_coi_ncoi]]),FALSE),"")))),"")</f>
        <v>NCOI</v>
      </c>
      <c r="M114" s="99" t="b">
        <f>IF(AND(teacher_type="R",career_stage="P"),IF(AND(COUNTIFS(RPS[Strand],$B114,RPS[QET],M$11)&gt;0,$D114),TRUE,FALSE),IF(AND(teacher_type="R",career_stage="HP"),IF(AND(COUNTIFS(RHPS[Strand],$B114,RHPS[QET],M$11)&gt;0,$D114),TRUE,FALSE), IF(AND(teacher_type="TB",career_stage="P"),IF(AND(COUNTIFS(TBPS[Strand],$B114,TBPS[QET],M$11)&gt;0,$D114),TRUE,FALSE), IF(AND(teacher_type="TB",career_stage="HP"),IF(AND(COUNTIFS(TBHPS[Strand],$B114,TBHPS[QET],M$11)&gt;0,$D114),TRUE,FALSE),FALSE))))</f>
        <v>1</v>
      </c>
      <c r="N114" s="99" t="b">
        <f>IF(AND(teacher_type="R",career_stage="P"),IF(AND(COUNTIFS(RPS[Strand],$B114,RPS[QET],N$11)&gt;0,$D114),TRUE,FALSE),IF(AND(teacher_type="R",career_stage="HP"),IF(AND(COUNTIFS(RHPS[Strand],$B114,RHPS[QET],N$11)&gt;0,$D114),TRUE,FALSE), IF(AND(teacher_type="TB",career_stage="P"),IF(AND(COUNTIFS(TBPS[Strand],$B114,TBPS[QET],N$11)&gt;0,$D114),TRUE,FALSE), IF(AND(teacher_type="TB",career_stage="HP"),IF(AND(COUNTIFS(TBHPS[Strand],$B114,TBHPS[QET],N$11)&gt;0,$D114),TRUE,FALSE),FALSE))))</f>
        <v>0</v>
      </c>
      <c r="O114" s="99" t="b">
        <f>IF(AND(teacher_type="R",career_stage="P"),IF(AND(COUNTIFS(RPS[Strand],$B114,RPS[QET],O$11)&gt;0,$D114),TRUE,FALSE),IF(AND(teacher_type="R",career_stage="HP"),IF(AND(COUNTIFS(RHPS[Strand],$B114,RHPS[QET],O$11)&gt;0,$D114),TRUE,FALSE), IF(AND(teacher_type="TB",career_stage="P"),IF(AND(COUNTIFS(TBPS[Strand],$B114,TBPS[QET],O$11)&gt;0,$D114),TRUE,FALSE), IF(AND(teacher_type="TB",career_stage="HP"),IF(AND(COUNTIFS(TBHPS[Strand],$B114,TBHPS[QET],O$11)&gt;0,$D114),TRUE,FALSE),FALSE))))</f>
        <v>1</v>
      </c>
      <c r="P114" s="710"/>
      <c r="Q114" s="662" t="str">
        <f>IFERROR(IF(E114,IF(C114="Plus Factor","Plus Factor",C114 &amp; ". " &amp; INDEX(Domains[Domain],MATCH(C114,Domains[Domain_code],0),1)),""),"")</f>
        <v/>
      </c>
      <c r="R114" s="663" t="str">
        <f>IFERROR(IF($F114,$I114 &amp; ". " &amp; IF(AND(career_stage="P",teacher_type="R"), INDEX(RPI[PPST Indicators],MATCH($B114,RPI[Strand],0),1), IF(AND(career_stage="HP",teacher_type="R"),INDEX(RHPI[PPST Indicators],MATCH($B114,RHPI[Strand],0),1), IF(AND(career_stage="P",teacher_type="TB"),INDEX(TBPI[PPST Indicators],MATCH($B114,TBPI[Strand],0),1), IF(AND(career_stage="HP",teacher_type="TB"),INDEX(TBHPI[PPST Indicators],MATCH($B114,TBHPI[Strand],0),1),"")))) &amp; IF(NOT(TRIM(LOWER($C114))="plus factor")," (PPST "&amp;B114&amp;")",""),""),"")</f>
        <v>13. Participated in professional networks to share knowledge and to enhance practice (PPST 7.3.2)</v>
      </c>
      <c r="S114" s="664" t="str" cm="1">
        <f t="array" ref="S114">demographics[rating_period]</f>
        <v>SY 2023-2024</v>
      </c>
      <c r="T114" s="678">
        <f>IFERROR(IF(AND(career_stage="P",teacher_type="R"),VLOOKUP(B114,RPI[],COLUMNS(RPI[[Strand]:[Weight]]),FALSE), IF(AND(career_stage="HP",teacher_type="R"),VLOOKUP(B114,RHPI[],COLUMNS(RHPI[[Strand]:[Weight]]),FALSE), IF(AND(career_stage="P",teacher_type="TB"),VLOOKUP(B114,TBPI[],COLUMNS(TBPI[[Strand]:[Weight]]),FALSE), IF(AND(career_stage="HP",teacher_type="TB"),VLOOKUP(B114,TBHPI[],COLUMNS(TBHPI[[Strand]:[Weight]]),FALSE),0)))),0)</f>
        <v>7.0000000000000007E-2</v>
      </c>
      <c r="U114" s="94" t="s">
        <v>1185</v>
      </c>
      <c r="V114" s="391" t="str">
        <f ca="1">IFERROR(IF($M114,IF(AND(career_stage="P",teacher_type="R"),INDEX(INDIRECT("RPS["&amp;V$10&amp;"]"),MATCH($H114,RPS[helper],0),1), IF(AND(career_stage="HP",teacher_type="R"), INDEX(INDIRECT("RHPS["&amp;V$10&amp;"]"),MATCH($H114,RHPS[helper],0),1), IF(AND(career_stage="P",teacher_type="TB"),INDEX(INDIRECT("TBPS["&amp;V$10&amp;"]"),MATCH($H114,TBPS[helper],0),1), IF(AND(career_stage="HP",teacher_type="TB"),INDEX(INDIRECT("TBHPS["&amp;V$10&amp;"]"),MATCH($H114,TBHPS[helper],0),1),"")))),""),"")</f>
        <v>Participated in any professional network/activity that requires output* and proof of implementation** within the school to share knowledge and to enhance practice as evidenced by the submitted MOV</v>
      </c>
      <c r="W114" s="391" t="str">
        <f ca="1">IFERROR(IF($M114,IF(AND(career_stage="P",teacher_type="R"),INDEX(INDIRECT("RPS["&amp;W$10&amp;"]"),MATCH($H114,RPS[helper],0),1), IF(AND(career_stage="HP",teacher_type="R"), INDEX(INDIRECT("RHPS["&amp;W$10&amp;"]"),MATCH($H114,RHPS[helper],0),1), IF(AND(career_stage="P",teacher_type="TB"),INDEX(INDIRECT("TBPS["&amp;W$10&amp;"]"),MATCH($H114,TBPS[helper],0),1), IF(AND(career_stage="HP",teacher_type="TB"),INDEX(INDIRECT("TBHPS["&amp;W$10&amp;"]"),MATCH($H114,TBHPS[helper],0),1),"")))),""),"")</f>
        <v>Participated in any professional network/activity that requires output* and proof of implementation** within the department/ grade level to share knowledge and to enhance practice as evidenced by the submitted MOV</v>
      </c>
      <c r="X114" s="391" t="str">
        <f ca="1">IFERROR(IF($M114,IF(AND(career_stage="P",teacher_type="R"),INDEX(INDIRECT("RPS["&amp;X$10&amp;"]"),MATCH($H114,RPS[helper],0),1), IF(AND(career_stage="HP",teacher_type="R"), INDEX(INDIRECT("RHPS["&amp;X$10&amp;"]"),MATCH($H114,RHPS[helper],0),1), IF(AND(career_stage="P",teacher_type="TB"),INDEX(INDIRECT("TBPS["&amp;X$10&amp;"]"),MATCH($H114,TBPS[helper],0),1), IF(AND(career_stage="HP",teacher_type="TB"),INDEX(INDIRECT("TBHPS["&amp;X$10&amp;"]"),MATCH($H114,TBHPS[helper],0),1),"")))),""),"")</f>
        <v>Participated in any professional network/activity that requires output* to share knowledge and to enhance practice as evidenced by the submitted MOV</v>
      </c>
      <c r="Y114" s="391" t="str">
        <f ca="1">IFERROR(IF($M114,IF(AND(career_stage="P",teacher_type="R"),INDEX(INDIRECT("RPS["&amp;Y$10&amp;"]"),MATCH($H114,RPS[helper],0),1), IF(AND(career_stage="HP",teacher_type="R"), INDEX(INDIRECT("RHPS["&amp;Y$10&amp;"]"),MATCH($H114,RHPS[helper],0),1), IF(AND(career_stage="P",teacher_type="TB"),INDEX(INDIRECT("TBPS["&amp;Y$10&amp;"]"),MATCH($H114,TBPS[helper],0),1), IF(AND(career_stage="HP",teacher_type="TB"),INDEX(INDIRECT("TBHPS["&amp;Y$10&amp;"]"),MATCH($H114,TBHPS[helper],0),1),"")))),""),"")</f>
        <v>Participated in any professional network/activity that does not require output to share knowledge and to enhance practice as evidenced by the submitted MOV</v>
      </c>
      <c r="Z114" s="391" t="str">
        <f ca="1">IFERROR(IF($M114,IF(AND(career_stage="P",teacher_type="R"),INDEX(INDIRECT("RPS["&amp;Z$10&amp;"]"),MATCH($H114,RPS[helper],0),1), IF(AND(career_stage="HP",teacher_type="R"), INDEX(INDIRECT("RHPS["&amp;Z$10&amp;"]"),MATCH($H114,RHPS[helper],0),1), IF(AND(career_stage="P",teacher_type="TB"),INDEX(INDIRECT("TBPS["&amp;Z$10&amp;"]"),MATCH($H114,TBPS[helper],0),1), IF(AND(career_stage="HP",teacher_type="TB"),INDEX(INDIRECT("TBHPS["&amp;Z$10&amp;"]"),MATCH($H114,TBHPS[helper],0),1),"")))),""),"")</f>
        <v>No acceptable evidence was shown</v>
      </c>
      <c r="AA114" s="392" t="str" cm="1">
        <f t="array" aca="1" ref="AA114" ca="1">IFERROR(INDEX(V114:Z114,6-AB114),"")</f>
        <v>Participated in any professional network/activity that requires output* and proof of implementation** within the department/ grade level to share knowledge and to enhance practice as evidenced by the submitted MOV</v>
      </c>
      <c r="AB114" s="680">
        <f>IF('Encoding Part 1'!AB56="","",'Encoding Part 1'!AB56)</f>
        <v>4</v>
      </c>
      <c r="AC114" s="680" t="str">
        <f>IF('Encoding Part 1'!AC56="","",'Encoding Part 1'!AC56)</f>
        <v/>
      </c>
      <c r="AD114" s="680">
        <f>IF('Encoding Part 1'!AD56="","",'Encoding Part 1'!AD56)</f>
        <v>3</v>
      </c>
      <c r="AE114" s="682">
        <f t="shared" ref="AE114" si="68">IFERROR(ROUNDDOWN(AVERAGE($AB114:$AD114),3),0)</f>
        <v>3.5</v>
      </c>
      <c r="AF114" s="661">
        <f t="shared" ref="AF114" si="69">ROUNDDOWN($AE114*$T114,3)</f>
        <v>0.245</v>
      </c>
      <c r="AG114" s="5"/>
    </row>
    <row r="115" spans="1:33" hidden="1" x14ac:dyDescent="0.25">
      <c r="A115" s="92">
        <v>35</v>
      </c>
      <c r="B115" s="99" t="str" cm="1">
        <f t="array" ref="B115">IFERROR(IF(AND(teacher_type="R",career_stage="P"),INDEX(RPI[Strand],$A115),IF(AND(teacher_type="R",career_stage="HP"),INDEX(RHPI[Strand],$A115), IF(AND(teacher_type="TB",career_stage="P"),INDEX(TBPI[Strand],$A115), IF(AND(teacher_type="TB",career_stage="HP"),INDEX(TBHPI[Strand],$A115),0)))),0)</f>
        <v>7.3.2</v>
      </c>
      <c r="C115" s="99">
        <f>IFERROR(IF(AND(teacher_type="R",career_stage="P"),VLOOKUP($B115,RPI[[Strand]:[Domain]],COLUMNS(RPI[[Strand]:[Domain]]),FALSE), IF(AND(teacher_type="R",career_stage="HP"),VLOOKUP($B115,RHPI[[Strand]:[Domain]],COLUMNS(RHPI[[Strand]:[Domain]]),FALSE), IF(AND(teacher_type="TB",career_stage="P"),VLOOKUP($B115,TBPI[[Strand]:[Domain]],COLUMNS(TBPI[[Strand]:[Domain]]),FALSE), IF(AND(teacher_type="TB",career_stage="HP"),VLOOKUP($B115,TBHPI[[Strand]:[Domain]],COLUMNS(TBHPI[[Strand]:[Domain]]),FALSE),"")))),"")</f>
        <v>4</v>
      </c>
      <c r="D115" s="99" t="b">
        <f>IFERROR(IF(AND(career_stage="P",teacher_type="R"),VLOOKUP(B115,RPI[],COLUMNS(RPI[[Strand]:[Selected]]),FALSE), IF(AND(career_stage="HP",teacher_type="R"),VLOOKUP(B115,RHPI[],COLUMNS(RHPI[[Strand]:[Selected]]),FALSE), IF(AND(career_stage="P",teacher_type="TB"),VLOOKUP(B115,TBPI[],COLUMNS(TBPI[[Strand]:[Selected]]),FALSE), IF(AND(career_stage="HP",teacher_type="TB"),VLOOKUP(B115,TBHPI[],COLUMNS(TBHPI[[Strand]:[Selected]]),FALSE),FALSE)))),FALSE)</f>
        <v>1</v>
      </c>
      <c r="E115" s="92" t="b">
        <f>COUNTIFS($C$12:$C115,C115,$D$12:$D115,TRUE)=1</f>
        <v>0</v>
      </c>
      <c r="F115" s="92" t="b">
        <f>COUNTIFS($C$12:$C115,$C115,$B$12:$B115,$B115,$D$12:$D115,TRUE)=1</f>
        <v>0</v>
      </c>
      <c r="G115" s="99">
        <f>IF($F115,COUNTIFS($C$12:$C115,C115,$F$12:$F115,TRUE),0)</f>
        <v>0</v>
      </c>
      <c r="H115" s="99" t="str">
        <f t="shared" si="43"/>
        <v>7.3.2-E</v>
      </c>
      <c r="I115" s="99">
        <f>IF(AND(D115,NOT($A115=$A114)),(COUNTIF($D$11:$D114,TRUE)/3)+1,0)</f>
        <v>0</v>
      </c>
      <c r="J115" s="99" t="s">
        <v>1073</v>
      </c>
      <c r="K115" s="99" t="b">
        <f>IF(AND(teacher_type="R",career_stage="P"),IF(AND(COUNTIFS(RPS[Strand],$B115,RPS[QET],$J115)&gt;0,$D115),TRUE,FALSE), IF(AND(teacher_type="R",career_stage="HP"),IF(AND(COUNTIFS(RHPS[Strand],$B115,RHPS[QET],$J115)&gt;0,$D115),TRUE,FALSE), IF(AND(teacher_type="TB",career_stage="P"),IF(AND(COUNTIFS(TBPS[Strand],$B115,TBPS[QET],$J115)&gt;0,$D115),TRUE,FALSE), IF(AND(teacher_type="TB",career_stage="HP"),IF(AND(COUNTIFS(TBHPS[Strand],$B115,TBHPS[QET],$J115)&gt;0,$D115),TRUE,FALSE),FALSE))))</f>
        <v>0</v>
      </c>
      <c r="L115" s="99" t="str">
        <f>IF($K115,IF(AND(teacher_type="R",career_stage="P"),VLOOKUP($B115,RPI[],COLUMNS(RPI[[Strand]:[user_selected_coi_ncoi]]),FALSE), IF(AND(teacher_type="R",career_stage="HP"),VLOOKUP($B115,RHPI[],COLUMNS(RHPI[[Strand]:[user_selected_coi_ncoi]]),FALSE), IF(AND(teacher_type="TB",career_stage="P"),VLOOKUP($B115,TBPI[],COLUMNS(TBPI[[Strand]:[user_selected_coi_ncoi]]),FALSE), IF(AND(teacher_type="TB",career_stage="HP"),VLOOKUP($B115,TBHPI[],COLUMNS(TBHPI[[Strand]:[user_selected_coi_ncoi]]),FALSE),"")))),"")</f>
        <v/>
      </c>
      <c r="M115" s="99" t="b">
        <f>IF(AND(teacher_type="R",career_stage="P"),IF(AND(COUNTIFS(RPS[Strand],$B115,RPS[QET],M$11)&gt;0,$D115),TRUE,FALSE),IF(AND(teacher_type="R",career_stage="HP"),IF(AND(COUNTIFS(RHPS[Strand],$B115,RHPS[QET],M$11)&gt;0,$D115),TRUE,FALSE), IF(AND(teacher_type="TB",career_stage="P"),IF(AND(COUNTIFS(TBPS[Strand],$B115,TBPS[QET],M$11)&gt;0,$D115),TRUE,FALSE), IF(AND(teacher_type="TB",career_stage="HP"),IF(AND(COUNTIFS(TBHPS[Strand],$B115,TBHPS[QET],M$11)&gt;0,$D115),TRUE,FALSE),FALSE))))</f>
        <v>1</v>
      </c>
      <c r="N115" s="99" t="b">
        <f>IF(AND(teacher_type="R",career_stage="P"),IF(AND(COUNTIFS(RPS[Strand],$B115,RPS[QET],N$11)&gt;0,$D115),TRUE,FALSE),IF(AND(teacher_type="R",career_stage="HP"),IF(AND(COUNTIFS(RHPS[Strand],$B115,RHPS[QET],N$11)&gt;0,$D115),TRUE,FALSE), IF(AND(teacher_type="TB",career_stage="P"),IF(AND(COUNTIFS(TBPS[Strand],$B115,TBPS[QET],N$11)&gt;0,$D115),TRUE,FALSE), IF(AND(teacher_type="TB",career_stage="HP"),IF(AND(COUNTIFS(TBHPS[Strand],$B115,TBHPS[QET],N$11)&gt;0,$D115),TRUE,FALSE),FALSE))))</f>
        <v>0</v>
      </c>
      <c r="O115" s="99" t="b">
        <f>IF(AND(teacher_type="R",career_stage="P"),IF(AND(COUNTIFS(RPS[Strand],$B115,RPS[QET],O$11)&gt;0,$D115),TRUE,FALSE),IF(AND(teacher_type="R",career_stage="HP"),IF(AND(COUNTIFS(RHPS[Strand],$B115,RHPS[QET],O$11)&gt;0,$D115),TRUE,FALSE), IF(AND(teacher_type="TB",career_stage="P"),IF(AND(COUNTIFS(TBPS[Strand],$B115,TBPS[QET],O$11)&gt;0,$D115),TRUE,FALSE), IF(AND(teacher_type="TB",career_stage="HP"),IF(AND(COUNTIFS(TBHPS[Strand],$B115,TBHPS[QET],O$11)&gt;0,$D115),TRUE,FALSE),FALSE))))</f>
        <v>1</v>
      </c>
      <c r="P115" s="710"/>
      <c r="Q115" s="662"/>
      <c r="R115" s="663"/>
      <c r="S115" s="664"/>
      <c r="T115" s="678"/>
      <c r="U115" s="94" t="s">
        <v>1186</v>
      </c>
      <c r="V115" s="391" t="str">
        <f ca="1">IFERROR(IF($N115,IF(AND(career_stage="P",teacher_type="R"),INDEX(INDIRECT("RPS["&amp;V$10&amp;"]"),MATCH($H115,RPS[helper],0),1), IF(AND(career_stage="HP",teacher_type="R"), INDEX(INDIRECT("RHPS["&amp;V$10&amp;"]"),MATCH($H115,RHPS[helper],0),1), IF(AND(career_stage="P",teacher_type="TB"),INDEX(INDIRECT("TBPS["&amp;V$10&amp;"]"),MATCH($H115,TBPS[helper],0),1), IF(AND(career_stage="HP",teacher_type="TB"),INDEX(INDIRECT("TBHPS["&amp;V$10&amp;"]"),MATCH($H115,TBHPS[helper],0),1),"")))),""),"")</f>
        <v/>
      </c>
      <c r="W115" s="391" t="str">
        <f ca="1">IFERROR(IF($N115,IF(AND(career_stage="P",teacher_type="R"),INDEX(INDIRECT("RPS["&amp;W$10&amp;"]"),MATCH($H115,RPS[helper],0),1), IF(AND(career_stage="HP",teacher_type="R"), INDEX(INDIRECT("RHPS["&amp;W$10&amp;"]"),MATCH($H115,RHPS[helper],0),1), IF(AND(career_stage="P",teacher_type="TB"),INDEX(INDIRECT("TBPS["&amp;W$10&amp;"]"),MATCH($H115,TBPS[helper],0),1), IF(AND(career_stage="HP",teacher_type="TB"),INDEX(INDIRECT("TBHPS["&amp;W$10&amp;"]"),MATCH($H115,TBHPS[helper],0),1),"")))),""),"")</f>
        <v/>
      </c>
      <c r="X115" s="391" t="str">
        <f ca="1">IFERROR(IF($N115,IF(AND(career_stage="P",teacher_type="R"),INDEX(INDIRECT("RPS["&amp;X$10&amp;"]"),MATCH($H115,RPS[helper],0),1), IF(AND(career_stage="HP",teacher_type="R"), INDEX(INDIRECT("RHPS["&amp;X$10&amp;"]"),MATCH($H115,RHPS[helper],0),1), IF(AND(career_stage="P",teacher_type="TB"),INDEX(INDIRECT("TBPS["&amp;X$10&amp;"]"),MATCH($H115,TBPS[helper],0),1), IF(AND(career_stage="HP",teacher_type="TB"),INDEX(INDIRECT("TBHPS["&amp;X$10&amp;"]"),MATCH($H115,TBHPS[helper],0),1),"")))),""),"")</f>
        <v/>
      </c>
      <c r="Y115" s="391" t="str">
        <f ca="1">IFERROR(IF($N115,IF(AND(career_stage="P",teacher_type="R"),INDEX(INDIRECT("RPS["&amp;Y$10&amp;"]"),MATCH($H115,RPS[helper],0),1), IF(AND(career_stage="HP",teacher_type="R"), INDEX(INDIRECT("RHPS["&amp;Y$10&amp;"]"),MATCH($H115,RHPS[helper],0),1), IF(AND(career_stage="P",teacher_type="TB"),INDEX(INDIRECT("TBPS["&amp;Y$10&amp;"]"),MATCH($H115,TBPS[helper],0),1), IF(AND(career_stage="HP",teacher_type="TB"),INDEX(INDIRECT("TBHPS["&amp;Y$10&amp;"]"),MATCH($H115,TBHPS[helper],0),1),"")))),""),"")</f>
        <v/>
      </c>
      <c r="Z115" s="391" t="str">
        <f ca="1">IFERROR(IF($N115,IF(AND(career_stage="P",teacher_type="R"),INDEX(INDIRECT("RPS["&amp;Z$10&amp;"]"),MATCH($H115,RPS[helper],0),1), IF(AND(career_stage="HP",teacher_type="R"), INDEX(INDIRECT("RHPS["&amp;Z$10&amp;"]"),MATCH($H115,RHPS[helper],0),1), IF(AND(career_stage="P",teacher_type="TB"),INDEX(INDIRECT("TBPS["&amp;Z$10&amp;"]"),MATCH($H115,TBPS[helper],0),1), IF(AND(career_stage="HP",teacher_type="TB"),INDEX(INDIRECT("TBHPS["&amp;Z$10&amp;"]"),MATCH($H115,TBHPS[helper],0),1),"")))),""),"")</f>
        <v/>
      </c>
      <c r="AA115" s="392" t="str" cm="1">
        <f t="array" ref="AA115">IFERROR(INDEX(V115:Z115,6-AC114),"")</f>
        <v/>
      </c>
      <c r="AB115" s="680"/>
      <c r="AC115" s="680"/>
      <c r="AD115" s="680"/>
      <c r="AE115" s="682"/>
      <c r="AF115" s="661"/>
      <c r="AG115" s="5"/>
    </row>
    <row r="116" spans="1:33" ht="63.75" x14ac:dyDescent="0.25">
      <c r="A116" s="92">
        <v>35</v>
      </c>
      <c r="B116" s="99" t="str" cm="1">
        <f t="array" ref="B116">IFERROR(IF(AND(teacher_type="R",career_stage="P"),INDEX(RPI[Strand],$A116),IF(AND(teacher_type="R",career_stage="HP"),INDEX(RHPI[Strand],$A116), IF(AND(teacher_type="TB",career_stage="P"),INDEX(TBPI[Strand],$A116), IF(AND(teacher_type="TB",career_stage="HP"),INDEX(TBHPI[Strand],$A116),0)))),0)</f>
        <v>7.3.2</v>
      </c>
      <c r="C116" s="99">
        <f>IFERROR(IF(AND(teacher_type="R",career_stage="P"),VLOOKUP($B116,RPI[[Strand]:[Domain]],COLUMNS(RPI[[Strand]:[Domain]]),FALSE), IF(AND(teacher_type="R",career_stage="HP"),VLOOKUP($B116,RHPI[[Strand]:[Domain]],COLUMNS(RHPI[[Strand]:[Domain]]),FALSE), IF(AND(teacher_type="TB",career_stage="P"),VLOOKUP($B116,TBPI[[Strand]:[Domain]],COLUMNS(TBPI[[Strand]:[Domain]]),FALSE), IF(AND(teacher_type="TB",career_stage="HP"),VLOOKUP($B116,TBHPI[[Strand]:[Domain]],COLUMNS(TBHPI[[Strand]:[Domain]]),FALSE),"")))),"")</f>
        <v>4</v>
      </c>
      <c r="D116" s="99" t="b">
        <f>IFERROR(IF(AND(career_stage="P",teacher_type="R"),VLOOKUP(B116,RPI[],COLUMNS(RPI[[Strand]:[Selected]]),FALSE), IF(AND(career_stage="HP",teacher_type="R"),VLOOKUP(B116,RHPI[],COLUMNS(RHPI[[Strand]:[Selected]]),FALSE), IF(AND(career_stage="P",teacher_type="TB"),VLOOKUP(B116,TBPI[],COLUMNS(TBPI[[Strand]:[Selected]]),FALSE), IF(AND(career_stage="HP",teacher_type="TB"),VLOOKUP(B116,TBHPI[],COLUMNS(TBHPI[[Strand]:[Selected]]),FALSE),FALSE)))),FALSE)</f>
        <v>1</v>
      </c>
      <c r="E116" s="92" t="b">
        <f>COUNTIFS($C$12:$C116,C116,$D$12:$D116,TRUE)=1</f>
        <v>0</v>
      </c>
      <c r="F116" s="92" t="b">
        <f>COUNTIFS($C$12:$C116,$C116,$B$12:$B116,$B116,$D$12:$D116,TRUE)=1</f>
        <v>0</v>
      </c>
      <c r="G116" s="99">
        <f>IF($F116,COUNTIFS($C$12:$C116,C116,$F$12:$F116,TRUE),0)</f>
        <v>0</v>
      </c>
      <c r="H116" s="99" t="str">
        <f t="shared" si="43"/>
        <v>7.3.2-T-NCOI</v>
      </c>
      <c r="I116" s="99">
        <f>IF(AND(D116,NOT($A116=$A115)),(COUNTIF($D$11:$D115,TRUE)/3)+1,0)</f>
        <v>0</v>
      </c>
      <c r="J116" s="99" t="s">
        <v>1014</v>
      </c>
      <c r="K116" s="99" t="b">
        <f>IF(AND(teacher_type="R",career_stage="P"),IF(AND(COUNTIFS(RPS[Strand],$B116,RPS[QET],$J116)&gt;0,$D116),TRUE,FALSE), IF(AND(teacher_type="R",career_stage="HP"),IF(AND(COUNTIFS(RHPS[Strand],$B116,RHPS[QET],$J116)&gt;0,$D116),TRUE,FALSE), IF(AND(teacher_type="TB",career_stage="P"),IF(AND(COUNTIFS(TBPS[Strand],$B116,TBPS[QET],$J116)&gt;0,$D116),TRUE,FALSE), IF(AND(teacher_type="TB",career_stage="HP"),IF(AND(COUNTIFS(TBHPS[Strand],$B116,TBHPS[QET],$J116)&gt;0,$D116),TRUE,FALSE),FALSE))))</f>
        <v>1</v>
      </c>
      <c r="L116" s="99" t="str">
        <f>IF($K116,IF(AND(teacher_type="R",career_stage="P"),VLOOKUP($B116,RPI[],COLUMNS(RPI[[Strand]:[user_selected_coi_ncoi]]),FALSE), IF(AND(teacher_type="R",career_stage="HP"),VLOOKUP($B116,RHPI[],COLUMNS(RHPI[[Strand]:[user_selected_coi_ncoi]]),FALSE), IF(AND(teacher_type="TB",career_stage="P"),VLOOKUP($B116,TBPI[],COLUMNS(TBPI[[Strand]:[user_selected_coi_ncoi]]),FALSE), IF(AND(teacher_type="TB",career_stage="HP"),VLOOKUP($B116,TBHPI[],COLUMNS(TBHPI[[Strand]:[user_selected_coi_ncoi]]),FALSE),"")))),"")</f>
        <v>NCOI</v>
      </c>
      <c r="M116" s="99" t="b">
        <f>IF(AND(teacher_type="R",career_stage="P"),IF(AND(COUNTIFS(RPS[Strand],$B116,RPS[QET],M$11)&gt;0,$D116),TRUE,FALSE),IF(AND(teacher_type="R",career_stage="HP"),IF(AND(COUNTIFS(RHPS[Strand],$B116,RHPS[QET],M$11)&gt;0,$D116),TRUE,FALSE), IF(AND(teacher_type="TB",career_stage="P"),IF(AND(COUNTIFS(TBPS[Strand],$B116,TBPS[QET],M$11)&gt;0,$D116),TRUE,FALSE), IF(AND(teacher_type="TB",career_stage="HP"),IF(AND(COUNTIFS(TBHPS[Strand],$B116,TBHPS[QET],M$11)&gt;0,$D116),TRUE,FALSE),FALSE))))</f>
        <v>1</v>
      </c>
      <c r="N116" s="99" t="b">
        <f>IF(AND(teacher_type="R",career_stage="P"),IF(AND(COUNTIFS(RPS[Strand],$B116,RPS[QET],N$11)&gt;0,$D116),TRUE,FALSE),IF(AND(teacher_type="R",career_stage="HP"),IF(AND(COUNTIFS(RHPS[Strand],$B116,RHPS[QET],N$11)&gt;0,$D116),TRUE,FALSE), IF(AND(teacher_type="TB",career_stage="P"),IF(AND(COUNTIFS(TBPS[Strand],$B116,TBPS[QET],N$11)&gt;0,$D116),TRUE,FALSE), IF(AND(teacher_type="TB",career_stage="HP"),IF(AND(COUNTIFS(TBHPS[Strand],$B116,TBHPS[QET],N$11)&gt;0,$D116),TRUE,FALSE),FALSE))))</f>
        <v>0</v>
      </c>
      <c r="O116" s="99" t="b">
        <f>IF(AND(teacher_type="R",career_stage="P"),IF(AND(COUNTIFS(RPS[Strand],$B116,RPS[QET],O$11)&gt;0,$D116),TRUE,FALSE),IF(AND(teacher_type="R",career_stage="HP"),IF(AND(COUNTIFS(RHPS[Strand],$B116,RHPS[QET],O$11)&gt;0,$D116),TRUE,FALSE), IF(AND(teacher_type="TB",career_stage="P"),IF(AND(COUNTIFS(TBPS[Strand],$B116,TBPS[QET],O$11)&gt;0,$D116),TRUE,FALSE), IF(AND(teacher_type="TB",career_stage="HP"),IF(AND(COUNTIFS(TBHPS[Strand],$B116,TBHPS[QET],O$11)&gt;0,$D116),TRUE,FALSE),FALSE))))</f>
        <v>1</v>
      </c>
      <c r="P116" s="710"/>
      <c r="Q116" s="662"/>
      <c r="R116" s="663"/>
      <c r="S116" s="664"/>
      <c r="T116" s="678"/>
      <c r="U116" s="94" t="s">
        <v>1187</v>
      </c>
      <c r="V116" s="391" t="str">
        <f ca="1">IFERROR(IF($O116,IF(AND(career_stage="P",teacher_type="R"),INDEX(INDIRECT("RPS["&amp;V$10&amp;"]"),MATCH($H116,RPS[helper],0),1), IF(AND(career_stage="HP",teacher_type="R"), INDEX(INDIRECT("RHPS["&amp;V$10&amp;"]"),MATCH($H116,RHPS[helper],0),1), IF(AND(career_stage="P",teacher_type="TB"),INDEX(INDIRECT("TBPS["&amp;V$10&amp;"]"),MATCH($H116,TBPS[helper],0),1), IF(AND(career_stage="HP",teacher_type="TB"),INDEX(INDIRECT("TBHPS["&amp;V$10&amp;"]"),MATCH($H116,TBHPS[helper],0),1),"")))),""),"")</f>
        <v>Particpated in professional networkds to share knowledge and to enhance practice across 4 quarters</v>
      </c>
      <c r="W116" s="391" t="str">
        <f ca="1">IFERROR(IF($O116,IF(AND(career_stage="P",teacher_type="R"),INDEX(INDIRECT("RPS["&amp;W$10&amp;"]"),MATCH($H116,RPS[helper],0),1), IF(AND(career_stage="HP",teacher_type="R"), INDEX(INDIRECT("RHPS["&amp;W$10&amp;"]"),MATCH($H116,RHPS[helper],0),1), IF(AND(career_stage="P",teacher_type="TB"),INDEX(INDIRECT("TBPS["&amp;W$10&amp;"]"),MATCH($H116,TBPS[helper],0),1), IF(AND(career_stage="HP",teacher_type="TB"),INDEX(INDIRECT("TBHPS["&amp;W$10&amp;"]"),MATCH($H116,TBHPS[helper],0),1),"")))),""),"")</f>
        <v>Particpated in professional networkds to share knowledge and to enhance practice across 3 quarters</v>
      </c>
      <c r="X116" s="391" t="str">
        <f ca="1">IFERROR(IF($O116,IF(AND(career_stage="P",teacher_type="R"),INDEX(INDIRECT("RPS["&amp;X$10&amp;"]"),MATCH($H116,RPS[helper],0),1), IF(AND(career_stage="HP",teacher_type="R"), INDEX(INDIRECT("RHPS["&amp;X$10&amp;"]"),MATCH($H116,RHPS[helper],0),1), IF(AND(career_stage="P",teacher_type="TB"),INDEX(INDIRECT("TBPS["&amp;X$10&amp;"]"),MATCH($H116,TBPS[helper],0),1), IF(AND(career_stage="HP",teacher_type="TB"),INDEX(INDIRECT("TBHPS["&amp;X$10&amp;"]"),MATCH($H116,TBHPS[helper],0),1),"")))),""),"")</f>
        <v>Particpated in professional networkds to share knowledge and to enhance practice across 2 quarters</v>
      </c>
      <c r="Y116" s="391" t="str">
        <f ca="1">IFERROR(IF($O116,IF(AND(career_stage="P",teacher_type="R"),INDEX(INDIRECT("RPS["&amp;Y$10&amp;"]"),MATCH($H116,RPS[helper],0),1), IF(AND(career_stage="HP",teacher_type="R"), INDEX(INDIRECT("RHPS["&amp;Y$10&amp;"]"),MATCH($H116,RHPS[helper],0),1), IF(AND(career_stage="P",teacher_type="TB"),INDEX(INDIRECT("TBPS["&amp;Y$10&amp;"]"),MATCH($H116,TBPS[helper],0),1), IF(AND(career_stage="HP",teacher_type="TB"),INDEX(INDIRECT("TBHPS["&amp;Y$10&amp;"]"),MATCH($H116,TBHPS[helper],0),1),"")))),""),"")</f>
        <v>Particpated in professional networkds to share knowledge and to enhance practice in only 1 quarter</v>
      </c>
      <c r="Z116" s="391" t="str">
        <f ca="1">IFERROR(IF($O116,IF(AND(career_stage="P",teacher_type="R"),INDEX(INDIRECT("RPS["&amp;Z$10&amp;"]"),MATCH($H116,RPS[helper],0),1), IF(AND(career_stage="HP",teacher_type="R"), INDEX(INDIRECT("RHPS["&amp;Z$10&amp;"]"),MATCH($H116,RHPS[helper],0),1), IF(AND(career_stage="P",teacher_type="TB"),INDEX(INDIRECT("TBPS["&amp;Z$10&amp;"]"),MATCH($H116,TBPS[helper],0),1), IF(AND(career_stage="HP",teacher_type="TB"),INDEX(INDIRECT("TBHPS["&amp;Z$10&amp;"]"),MATCH($H116,TBHPS[helper],0),1),"")))),""),"")</f>
        <v>No acceptable evidence was shown</v>
      </c>
      <c r="AA116" s="391" t="str" cm="1">
        <f t="array" aca="1" ref="AA116" ca="1">IFERROR(INDEX(V116:Z116,6-AD114),"")</f>
        <v>Particpated in professional networkds to share knowledge and to enhance practice across 2 quarters</v>
      </c>
      <c r="AB116" s="680"/>
      <c r="AC116" s="680"/>
      <c r="AD116" s="680"/>
      <c r="AE116" s="682"/>
      <c r="AF116" s="661"/>
      <c r="AG116" s="5"/>
    </row>
    <row r="117" spans="1:33" ht="76.5" x14ac:dyDescent="0.25">
      <c r="A117" s="92">
        <v>36</v>
      </c>
      <c r="B117" s="99" t="str" cm="1">
        <f t="array" ref="B117">IFERROR(IF(AND(teacher_type="R",career_stage="P"),INDEX(RPI[Strand],$A117),IF(AND(teacher_type="R",career_stage="HP"),INDEX(RHPI[Strand],$A117), IF(AND(teacher_type="TB",career_stage="P"),INDEX(TBPI[Strand],$A117), IF(AND(teacher_type="TB",career_stage="HP"),INDEX(TBHPI[Strand],$A117),0)))),0)</f>
        <v>7.4.2</v>
      </c>
      <c r="C117" s="99">
        <f>IFERROR(IF(AND(teacher_type="R",career_stage="P"),VLOOKUP($B117,RPI[[Strand]:[Domain]],COLUMNS(RPI[[Strand]:[Domain]]),FALSE), IF(AND(teacher_type="R",career_stage="HP"),VLOOKUP($B117,RHPI[[Strand]:[Domain]],COLUMNS(RHPI[[Strand]:[Domain]]),FALSE), IF(AND(teacher_type="TB",career_stage="P"),VLOOKUP($B117,TBPI[[Strand]:[Domain]],COLUMNS(TBPI[[Strand]:[Domain]]),FALSE), IF(AND(teacher_type="TB",career_stage="HP"),VLOOKUP($B117,TBHPI[[Strand]:[Domain]],COLUMNS(TBHPI[[Strand]:[Domain]]),FALSE),"")))),"")</f>
        <v>4</v>
      </c>
      <c r="D117" s="99" t="b">
        <f>IFERROR(IF(AND(career_stage="P",teacher_type="R"),VLOOKUP(B117,RPI[],COLUMNS(RPI[[Strand]:[Selected]]),FALSE), IF(AND(career_stage="HP",teacher_type="R"),VLOOKUP(B117,RHPI[],COLUMNS(RHPI[[Strand]:[Selected]]),FALSE), IF(AND(career_stage="P",teacher_type="TB"),VLOOKUP(B117,TBPI[],COLUMNS(TBPI[[Strand]:[Selected]]),FALSE), IF(AND(career_stage="HP",teacher_type="TB"),VLOOKUP(B117,TBHPI[],COLUMNS(TBHPI[[Strand]:[Selected]]),FALSE),FALSE)))),FALSE)</f>
        <v>1</v>
      </c>
      <c r="E117" s="92" t="b">
        <f>COUNTIFS($C$12:$C117,C117,$D$12:$D117,TRUE)=1</f>
        <v>0</v>
      </c>
      <c r="F117" s="92" t="b">
        <f>COUNTIFS($C$12:$C117,$C117,$B$12:$B117,$B117,$D$12:$D117,TRUE)=1</f>
        <v>1</v>
      </c>
      <c r="G117" s="99">
        <f>IF($F117,COUNTIFS($C$12:$C117,C117,$F$12:$F117,TRUE),0)</f>
        <v>3</v>
      </c>
      <c r="H117" s="99" t="str">
        <f t="shared" si="43"/>
        <v>7.4.2-Q-NCOI</v>
      </c>
      <c r="I117" s="99">
        <f>IF(AND(D117,NOT($A117=$A116)),(COUNTIF($D$11:$D116,TRUE)/3)+1,0)</f>
        <v>14</v>
      </c>
      <c r="J117" s="99" t="s">
        <v>1012</v>
      </c>
      <c r="K117" s="99" t="b">
        <f>IF(AND(teacher_type="R",career_stage="P"),IF(AND(COUNTIFS(RPS[Strand],$B117,RPS[QET],$J117)&gt;0,$D117),TRUE,FALSE), IF(AND(teacher_type="R",career_stage="HP"),IF(AND(COUNTIFS(RHPS[Strand],$B117,RHPS[QET],$J117)&gt;0,$D117),TRUE,FALSE), IF(AND(teacher_type="TB",career_stage="P"),IF(AND(COUNTIFS(TBPS[Strand],$B117,TBPS[QET],$J117)&gt;0,$D117),TRUE,FALSE), IF(AND(teacher_type="TB",career_stage="HP"),IF(AND(COUNTIFS(TBHPS[Strand],$B117,TBHPS[QET],$J117)&gt;0,$D117),TRUE,FALSE),FALSE))))</f>
        <v>1</v>
      </c>
      <c r="L117" s="99" t="str">
        <f>IF($K117,IF(AND(teacher_type="R",career_stage="P"),VLOOKUP($B117,RPI[],COLUMNS(RPI[[Strand]:[user_selected_coi_ncoi]]),FALSE), IF(AND(teacher_type="R",career_stage="HP"),VLOOKUP($B117,RHPI[],COLUMNS(RHPI[[Strand]:[user_selected_coi_ncoi]]),FALSE), IF(AND(teacher_type="TB",career_stage="P"),VLOOKUP($B117,TBPI[],COLUMNS(TBPI[[Strand]:[user_selected_coi_ncoi]]),FALSE), IF(AND(teacher_type="TB",career_stage="HP"),VLOOKUP($B117,TBHPI[],COLUMNS(TBHPI[[Strand]:[user_selected_coi_ncoi]]),FALSE),"")))),"")</f>
        <v>NCOI</v>
      </c>
      <c r="M117" s="99" t="b">
        <f>IF(AND(teacher_type="R",career_stage="P"),IF(AND(COUNTIFS(RPS[Strand],$B117,RPS[QET],M$11)&gt;0,$D117),TRUE,FALSE),IF(AND(teacher_type="R",career_stage="HP"),IF(AND(COUNTIFS(RHPS[Strand],$B117,RHPS[QET],M$11)&gt;0,$D117),TRUE,FALSE), IF(AND(teacher_type="TB",career_stage="P"),IF(AND(COUNTIFS(TBPS[Strand],$B117,TBPS[QET],M$11)&gt;0,$D117),TRUE,FALSE), IF(AND(teacher_type="TB",career_stage="HP"),IF(AND(COUNTIFS(TBHPS[Strand],$B117,TBHPS[QET],M$11)&gt;0,$D117),TRUE,FALSE),FALSE))))</f>
        <v>1</v>
      </c>
      <c r="N117" s="99" t="b">
        <f>IF(AND(teacher_type="R",career_stage="P"),IF(AND(COUNTIFS(RPS[Strand],$B117,RPS[QET],N$11)&gt;0,$D117),TRUE,FALSE),IF(AND(teacher_type="R",career_stage="HP"),IF(AND(COUNTIFS(RHPS[Strand],$B117,RHPS[QET],N$11)&gt;0,$D117),TRUE,FALSE), IF(AND(teacher_type="TB",career_stage="P"),IF(AND(COUNTIFS(TBPS[Strand],$B117,TBPS[QET],N$11)&gt;0,$D117),TRUE,FALSE), IF(AND(teacher_type="TB",career_stage="HP"),IF(AND(COUNTIFS(TBHPS[Strand],$B117,TBHPS[QET],N$11)&gt;0,$D117),TRUE,FALSE),FALSE))))</f>
        <v>1</v>
      </c>
      <c r="O117" s="99" t="b">
        <f>IF(AND(teacher_type="R",career_stage="P"),IF(AND(COUNTIFS(RPS[Strand],$B117,RPS[QET],O$11)&gt;0,$D117),TRUE,FALSE),IF(AND(teacher_type="R",career_stage="HP"),IF(AND(COUNTIFS(RHPS[Strand],$B117,RHPS[QET],O$11)&gt;0,$D117),TRUE,FALSE), IF(AND(teacher_type="TB",career_stage="P"),IF(AND(COUNTIFS(TBPS[Strand],$B117,TBPS[QET],O$11)&gt;0,$D117),TRUE,FALSE), IF(AND(teacher_type="TB",career_stage="HP"),IF(AND(COUNTIFS(TBHPS[Strand],$B117,TBHPS[QET],O$11)&gt;0,$D117),TRUE,FALSE),FALSE))))</f>
        <v>1</v>
      </c>
      <c r="P117" s="710"/>
      <c r="Q117" s="662" t="str">
        <f>IFERROR(IF(E117,IF(C117="Plus Factor","Plus Factor",C117 &amp; ". " &amp; INDEX(Domains[Domain],MATCH(C117,Domains[Domain_code],0),1)),""),"")</f>
        <v/>
      </c>
      <c r="R117" s="663" t="str">
        <f>IFERROR(IF($F117,$I117 &amp; ". " &amp; IF(AND(career_stage="P",teacher_type="R"), INDEX(RPI[PPST Indicators],MATCH($B117,RPI[Strand],0),1), IF(AND(career_stage="HP",teacher_type="R"),INDEX(RHPI[PPST Indicators],MATCH($B117,RHPI[Strand],0),1), IF(AND(career_stage="P",teacher_type="TB"),INDEX(TBPI[PPST Indicators],MATCH($B117,TBPI[Strand],0),1), IF(AND(career_stage="HP",teacher_type="TB"),INDEX(TBHPI[PPST Indicators],MATCH($B117,TBHPI[Strand],0),1),"")))) &amp; IF(NOT(TRIM(LOWER($C117))="plus factor")," (PPST "&amp;B117&amp;")",""),""),"")</f>
        <v>14. Developed a personal improvement plan based on reflection of one’s practice and ongoing professional learning (PPST 7.4.2)</v>
      </c>
      <c r="S117" s="664" t="str" cm="1">
        <f t="array" ref="S117">demographics[rating_period]</f>
        <v>SY 2023-2024</v>
      </c>
      <c r="T117" s="678">
        <f>IFERROR(IF(AND(career_stage="P",teacher_type="R"),VLOOKUP(B117,RPI[],COLUMNS(RPI[[Strand]:[Weight]]),FALSE), IF(AND(career_stage="HP",teacher_type="R"),VLOOKUP(B117,RHPI[],COLUMNS(RHPI[[Strand]:[Weight]]),FALSE), IF(AND(career_stage="P",teacher_type="TB"),VLOOKUP(B117,TBPI[],COLUMNS(TBPI[[Strand]:[Weight]]),FALSE), IF(AND(career_stage="HP",teacher_type="TB"),VLOOKUP(B117,TBHPI[],COLUMNS(TBHPI[[Strand]:[Weight]]),FALSE),0)))),0)</f>
        <v>7.0000000000000007E-2</v>
      </c>
      <c r="U117" s="94" t="s">
        <v>1185</v>
      </c>
      <c r="V117" s="391" t="str">
        <f ca="1">IFERROR(IF($M117,IF(AND(career_stage="P",teacher_type="R"),INDEX(INDIRECT("RPS["&amp;V$10&amp;"]"),MATCH($H117,RPS[helper],0),1), IF(AND(career_stage="HP",teacher_type="R"), INDEX(INDIRECT("RHPS["&amp;V$10&amp;"]"),MATCH($H117,RHPS[helper],0),1), IF(AND(career_stage="P",teacher_type="TB"),INDEX(INDIRECT("TBPS["&amp;V$10&amp;"]"),MATCH($H117,TBPS[helper],0),1), IF(AND(career_stage="HP",teacher_type="TB"),INDEX(INDIRECT("TBHPS["&amp;V$10&amp;"]"),MATCH($H117,TBHPS[helper],0),1),"")))),""),"")</f>
        <v>Updated professional development goals during Phase II of the RPMS Cycle as evidenced by MOV 4</v>
      </c>
      <c r="W117" s="391" t="str">
        <f ca="1">IFERROR(IF($M117,IF(AND(career_stage="P",teacher_type="R"),INDEX(INDIRECT("RPS["&amp;W$10&amp;"]"),MATCH($H117,RPS[helper],0),1), IF(AND(career_stage="HP",teacher_type="R"), INDEX(INDIRECT("RHPS["&amp;W$10&amp;"]"),MATCH($H117,RHPS[helper],0),1), IF(AND(career_stage="P",teacher_type="TB"),INDEX(INDIRECT("TBPS["&amp;W$10&amp;"]"),MATCH($H117,TBPS[helper],0),1), IF(AND(career_stage="HP",teacher_type="TB"),INDEX(INDIRECT("TBHPS["&amp;W$10&amp;"]"),MATCH($H117,TBHPS[helper],0),1),"")))),""),"")</f>
        <v>Discussed progress on professional development goals with the rater during the mid-year review as evidenced by MOV 3</v>
      </c>
      <c r="X117" s="391" t="str">
        <f ca="1">IFERROR(IF($M117,IF(AND(career_stage="P",teacher_type="R"),INDEX(INDIRECT("RPS["&amp;X$10&amp;"]"),MATCH($H117,RPS[helper],0),1), IF(AND(career_stage="HP",teacher_type="R"), INDEX(INDIRECT("RHPS["&amp;X$10&amp;"]"),MATCH($H117,RHPS[helper],0),1), IF(AND(career_stage="P",teacher_type="TB"),INDEX(INDIRECT("TBPS["&amp;X$10&amp;"]"),MATCH($H117,TBPS[helper],0),1), IF(AND(career_stage="HP",teacher_type="TB"),INDEX(INDIRECT("TBHPS["&amp;X$10&amp;"]"),MATCH($H117,TBHPS[helper],0),1),"")))),""),"")</f>
        <v>Set professional development goals based on e-SAT results as evidence by MOV 2</v>
      </c>
      <c r="Y117" s="391" t="str">
        <f ca="1">IFERROR(IF($M117,IF(AND(career_stage="P",teacher_type="R"),INDEX(INDIRECT("RPS["&amp;Y$10&amp;"]"),MATCH($H117,RPS[helper],0),1), IF(AND(career_stage="HP",teacher_type="R"), INDEX(INDIRECT("RHPS["&amp;Y$10&amp;"]"),MATCH($H117,RHPS[helper],0),1), IF(AND(career_stage="P",teacher_type="TB"),INDEX(INDIRECT("TBPS["&amp;Y$10&amp;"]"),MATCH($H117,TBPS[helper],0),1), IF(AND(career_stage="HP",teacher_type="TB"),INDEX(INDIRECT("TBHPS["&amp;Y$10&amp;"]"),MATCH($H117,TBHPS[helper],0),1),"")))),""),"")</f>
        <v>Accomplished the e-SAT at the beginning of the school year as evidenced by MOV 1</v>
      </c>
      <c r="Z117" s="391" t="str">
        <f ca="1">IFERROR(IF($M117,IF(AND(career_stage="P",teacher_type="R"),INDEX(INDIRECT("RPS["&amp;Z$10&amp;"]"),MATCH($H117,RPS[helper],0),1), IF(AND(career_stage="HP",teacher_type="R"), INDEX(INDIRECT("RHPS["&amp;Z$10&amp;"]"),MATCH($H117,RHPS[helper],0),1), IF(AND(career_stage="P",teacher_type="TB"),INDEX(INDIRECT("TBPS["&amp;Z$10&amp;"]"),MATCH($H117,TBPS[helper],0),1), IF(AND(career_stage="HP",teacher_type="TB"),INDEX(INDIRECT("TBHPS["&amp;Z$10&amp;"]"),MATCH($H117,TBHPS[helper],0),1),"")))),""),"")</f>
        <v>No acceptable evidence was shown</v>
      </c>
      <c r="AA117" s="392" t="str" cm="1">
        <f t="array" aca="1" ref="AA117" ca="1">IFERROR(INDEX(V117:Z117,6-AB117),"")</f>
        <v>Discussed progress on professional development goals with the rater during the mid-year review as evidenced by MOV 3</v>
      </c>
      <c r="AB117" s="680">
        <f>IF('Encoding Part 1'!AB57="","",'Encoding Part 1'!AB57)</f>
        <v>4</v>
      </c>
      <c r="AC117" s="680">
        <f>IF('Encoding Part 1'!AC57="","",'Encoding Part 1'!AC57)</f>
        <v>3</v>
      </c>
      <c r="AD117" s="680">
        <f>IF('Encoding Part 1'!AD57="","",'Encoding Part 1'!AD57)</f>
        <v>4</v>
      </c>
      <c r="AE117" s="682">
        <f t="shared" ref="AE117" si="70">IFERROR(ROUNDDOWN(AVERAGE($AB117:$AD117),3),0)</f>
        <v>3.6659999999999999</v>
      </c>
      <c r="AF117" s="661">
        <f t="shared" ref="AF117" si="71">ROUNDDOWN($AE117*$T117,3)</f>
        <v>0.25600000000000001</v>
      </c>
      <c r="AG117" s="5"/>
    </row>
    <row r="118" spans="1:33" ht="25.5" x14ac:dyDescent="0.25">
      <c r="A118" s="92">
        <v>36</v>
      </c>
      <c r="B118" s="99" t="str" cm="1">
        <f t="array" ref="B118">IFERROR(IF(AND(teacher_type="R",career_stage="P"),INDEX(RPI[Strand],$A118),IF(AND(teacher_type="R",career_stage="HP"),INDEX(RHPI[Strand],$A118), IF(AND(teacher_type="TB",career_stage="P"),INDEX(TBPI[Strand],$A118), IF(AND(teacher_type="TB",career_stage="HP"),INDEX(TBHPI[Strand],$A118),0)))),0)</f>
        <v>7.4.2</v>
      </c>
      <c r="C118" s="99">
        <f>IFERROR(IF(AND(teacher_type="R",career_stage="P"),VLOOKUP($B118,RPI[[Strand]:[Domain]],COLUMNS(RPI[[Strand]:[Domain]]),FALSE), IF(AND(teacher_type="R",career_stage="HP"),VLOOKUP($B118,RHPI[[Strand]:[Domain]],COLUMNS(RHPI[[Strand]:[Domain]]),FALSE), IF(AND(teacher_type="TB",career_stage="P"),VLOOKUP($B118,TBPI[[Strand]:[Domain]],COLUMNS(TBPI[[Strand]:[Domain]]),FALSE), IF(AND(teacher_type="TB",career_stage="HP"),VLOOKUP($B118,TBHPI[[Strand]:[Domain]],COLUMNS(TBHPI[[Strand]:[Domain]]),FALSE),"")))),"")</f>
        <v>4</v>
      </c>
      <c r="D118" s="99" t="b">
        <f>IFERROR(IF(AND(career_stage="P",teacher_type="R"),VLOOKUP(B118,RPI[],COLUMNS(RPI[[Strand]:[Selected]]),FALSE), IF(AND(career_stage="HP",teacher_type="R"),VLOOKUP(B118,RHPI[],COLUMNS(RHPI[[Strand]:[Selected]]),FALSE), IF(AND(career_stage="P",teacher_type="TB"),VLOOKUP(B118,TBPI[],COLUMNS(TBPI[[Strand]:[Selected]]),FALSE), IF(AND(career_stage="HP",teacher_type="TB"),VLOOKUP(B118,TBHPI[],COLUMNS(TBHPI[[Strand]:[Selected]]),FALSE),FALSE)))),FALSE)</f>
        <v>1</v>
      </c>
      <c r="E118" s="92" t="b">
        <f>COUNTIFS($C$12:$C118,C118,$D$12:$D118,TRUE)=1</f>
        <v>0</v>
      </c>
      <c r="F118" s="92" t="b">
        <f>COUNTIFS($C$12:$C118,$C118,$B$12:$B118,$B118,$D$12:$D118,TRUE)=1</f>
        <v>0</v>
      </c>
      <c r="G118" s="99">
        <f>IF($F118,COUNTIFS($C$12:$C118,C118,$F$12:$F118,TRUE),0)</f>
        <v>0</v>
      </c>
      <c r="H118" s="99" t="str">
        <f t="shared" si="43"/>
        <v>7.4.2-E-NCOI</v>
      </c>
      <c r="I118" s="99">
        <f>IF(AND(D118,NOT($A118=$A117)),(COUNTIF($D$11:$D117,TRUE)/3)+1,0)</f>
        <v>0</v>
      </c>
      <c r="J118" s="99" t="s">
        <v>1073</v>
      </c>
      <c r="K118" s="99" t="b">
        <f>IF(AND(teacher_type="R",career_stage="P"),IF(AND(COUNTIFS(RPS[Strand],$B118,RPS[QET],$J118)&gt;0,$D118),TRUE,FALSE), IF(AND(teacher_type="R",career_stage="HP"),IF(AND(COUNTIFS(RHPS[Strand],$B118,RHPS[QET],$J118)&gt;0,$D118),TRUE,FALSE), IF(AND(teacher_type="TB",career_stage="P"),IF(AND(COUNTIFS(TBPS[Strand],$B118,TBPS[QET],$J118)&gt;0,$D118),TRUE,FALSE), IF(AND(teacher_type="TB",career_stage="HP"),IF(AND(COUNTIFS(TBHPS[Strand],$B118,TBHPS[QET],$J118)&gt;0,$D118),TRUE,FALSE),FALSE))))</f>
        <v>1</v>
      </c>
      <c r="L118" s="99" t="str">
        <f>IF($K118,IF(AND(teacher_type="R",career_stage="P"),VLOOKUP($B118,RPI[],COLUMNS(RPI[[Strand]:[user_selected_coi_ncoi]]),FALSE), IF(AND(teacher_type="R",career_stage="HP"),VLOOKUP($B118,RHPI[],COLUMNS(RHPI[[Strand]:[user_selected_coi_ncoi]]),FALSE), IF(AND(teacher_type="TB",career_stage="P"),VLOOKUP($B118,TBPI[],COLUMNS(TBPI[[Strand]:[user_selected_coi_ncoi]]),FALSE), IF(AND(teacher_type="TB",career_stage="HP"),VLOOKUP($B118,TBHPI[],COLUMNS(TBHPI[[Strand]:[user_selected_coi_ncoi]]),FALSE),"")))),"")</f>
        <v>NCOI</v>
      </c>
      <c r="M118" s="99" t="b">
        <f>IF(AND(teacher_type="R",career_stage="P"),IF(AND(COUNTIFS(RPS[Strand],$B118,RPS[QET],M$11)&gt;0,$D118),TRUE,FALSE),IF(AND(teacher_type="R",career_stage="HP"),IF(AND(COUNTIFS(RHPS[Strand],$B118,RHPS[QET],M$11)&gt;0,$D118),TRUE,FALSE), IF(AND(teacher_type="TB",career_stage="P"),IF(AND(COUNTIFS(TBPS[Strand],$B118,TBPS[QET],M$11)&gt;0,$D118),TRUE,FALSE), IF(AND(teacher_type="TB",career_stage="HP"),IF(AND(COUNTIFS(TBHPS[Strand],$B118,TBHPS[QET],M$11)&gt;0,$D118),TRUE,FALSE),FALSE))))</f>
        <v>1</v>
      </c>
      <c r="N118" s="99" t="b">
        <f>IF(AND(teacher_type="R",career_stage="P"),IF(AND(COUNTIFS(RPS[Strand],$B118,RPS[QET],N$11)&gt;0,$D118),TRUE,FALSE),IF(AND(teacher_type="R",career_stage="HP"),IF(AND(COUNTIFS(RHPS[Strand],$B118,RHPS[QET],N$11)&gt;0,$D118),TRUE,FALSE), IF(AND(teacher_type="TB",career_stage="P"),IF(AND(COUNTIFS(TBPS[Strand],$B118,TBPS[QET],N$11)&gt;0,$D118),TRUE,FALSE), IF(AND(teacher_type="TB",career_stage="HP"),IF(AND(COUNTIFS(TBHPS[Strand],$B118,TBHPS[QET],N$11)&gt;0,$D118),TRUE,FALSE),FALSE))))</f>
        <v>1</v>
      </c>
      <c r="O118" s="99" t="b">
        <f>IF(AND(teacher_type="R",career_stage="P"),IF(AND(COUNTIFS(RPS[Strand],$B118,RPS[QET],O$11)&gt;0,$D118),TRUE,FALSE),IF(AND(teacher_type="R",career_stage="HP"),IF(AND(COUNTIFS(RHPS[Strand],$B118,RHPS[QET],O$11)&gt;0,$D118),TRUE,FALSE), IF(AND(teacher_type="TB",career_stage="P"),IF(AND(COUNTIFS(TBPS[Strand],$B118,TBPS[QET],O$11)&gt;0,$D118),TRUE,FALSE), IF(AND(teacher_type="TB",career_stage="HP"),IF(AND(COUNTIFS(TBHPS[Strand],$B118,TBHPS[QET],O$11)&gt;0,$D118),TRUE,FALSE),FALSE))))</f>
        <v>1</v>
      </c>
      <c r="P118" s="710"/>
      <c r="Q118" s="662"/>
      <c r="R118" s="663"/>
      <c r="S118" s="664"/>
      <c r="T118" s="678"/>
      <c r="U118" s="94" t="s">
        <v>1186</v>
      </c>
      <c r="V118" s="391" t="str">
        <f ca="1">IFERROR(IF($N118,IF(AND(career_stage="P",teacher_type="R"),INDEX(INDIRECT("RPS["&amp;V$10&amp;"]"),MATCH($H118,RPS[helper],0),1), IF(AND(career_stage="HP",teacher_type="R"), INDEX(INDIRECT("RHPS["&amp;V$10&amp;"]"),MATCH($H118,RHPS[helper],0),1), IF(AND(career_stage="P",teacher_type="TB"),INDEX(INDIRECT("TBPS["&amp;V$10&amp;"]"),MATCH($H118,TBPS[helper],0),1), IF(AND(career_stage="HP",teacher_type="TB"),INDEX(INDIRECT("TBHPS["&amp;V$10&amp;"]"),MATCH($H118,TBHPS[helper],0),1),"")))),""),"")</f>
        <v>Submitted 4 acceptable MOVs</v>
      </c>
      <c r="W118" s="391" t="str">
        <f ca="1">IFERROR(IF($N118,IF(AND(career_stage="P",teacher_type="R"),INDEX(INDIRECT("RPS["&amp;W$10&amp;"]"),MATCH($H118,RPS[helper],0),1), IF(AND(career_stage="HP",teacher_type="R"), INDEX(INDIRECT("RHPS["&amp;W$10&amp;"]"),MATCH($H118,RHPS[helper],0),1), IF(AND(career_stage="P",teacher_type="TB"),INDEX(INDIRECT("TBPS["&amp;W$10&amp;"]"),MATCH($H118,TBPS[helper],0),1), IF(AND(career_stage="HP",teacher_type="TB"),INDEX(INDIRECT("TBHPS["&amp;W$10&amp;"]"),MATCH($H118,TBHPS[helper],0),1),"")))),""),"")</f>
        <v>Submitted 3 acceptable MOVs</v>
      </c>
      <c r="X118" s="391" t="str">
        <f ca="1">IFERROR(IF($N118,IF(AND(career_stage="P",teacher_type="R"),INDEX(INDIRECT("RPS["&amp;X$10&amp;"]"),MATCH($H118,RPS[helper],0),1), IF(AND(career_stage="HP",teacher_type="R"), INDEX(INDIRECT("RHPS["&amp;X$10&amp;"]"),MATCH($H118,RHPS[helper],0),1), IF(AND(career_stage="P",teacher_type="TB"),INDEX(INDIRECT("TBPS["&amp;X$10&amp;"]"),MATCH($H118,TBPS[helper],0),1), IF(AND(career_stage="HP",teacher_type="TB"),INDEX(INDIRECT("TBHPS["&amp;X$10&amp;"]"),MATCH($H118,TBHPS[helper],0),1),"")))),""),"")</f>
        <v>Submitted 2 acceptable MOVs</v>
      </c>
      <c r="Y118" s="391" t="str">
        <f ca="1">IFERROR(IF($N118,IF(AND(career_stage="P",teacher_type="R"),INDEX(INDIRECT("RPS["&amp;Y$10&amp;"]"),MATCH($H118,RPS[helper],0),1), IF(AND(career_stage="HP",teacher_type="R"), INDEX(INDIRECT("RHPS["&amp;Y$10&amp;"]"),MATCH($H118,RHPS[helper],0),1), IF(AND(career_stage="P",teacher_type="TB"),INDEX(INDIRECT("TBPS["&amp;Y$10&amp;"]"),MATCH($H118,TBPS[helper],0),1), IF(AND(career_stage="HP",teacher_type="TB"),INDEX(INDIRECT("TBHPS["&amp;Y$10&amp;"]"),MATCH($H118,TBHPS[helper],0),1),"")))),""),"")</f>
        <v>Submitted 1 acceptable MOV</v>
      </c>
      <c r="Z118" s="391" t="str">
        <f ca="1">IFERROR(IF($N118,IF(AND(career_stage="P",teacher_type="R"),INDEX(INDIRECT("RPS["&amp;Z$10&amp;"]"),MATCH($H118,RPS[helper],0),1), IF(AND(career_stage="HP",teacher_type="R"), INDEX(INDIRECT("RHPS["&amp;Z$10&amp;"]"),MATCH($H118,RHPS[helper],0),1), IF(AND(career_stage="P",teacher_type="TB"),INDEX(INDIRECT("TBPS["&amp;Z$10&amp;"]"),MATCH($H118,TBPS[helper],0),1), IF(AND(career_stage="HP",teacher_type="TB"),INDEX(INDIRECT("TBHPS["&amp;Z$10&amp;"]"),MATCH($H118,TBHPS[helper],0),1),"")))),""),"")</f>
        <v>No acceptable evidence was shown</v>
      </c>
      <c r="AA118" s="392" t="str" cm="1">
        <f t="array" aca="1" ref="AA118" ca="1">IFERROR(INDEX(V118:Z118,6-AC117),"")</f>
        <v>Submitted 2 acceptable MOVs</v>
      </c>
      <c r="AB118" s="680"/>
      <c r="AC118" s="680"/>
      <c r="AD118" s="680"/>
      <c r="AE118" s="682"/>
      <c r="AF118" s="661"/>
      <c r="AG118" s="5"/>
    </row>
    <row r="119" spans="1:33" ht="51" x14ac:dyDescent="0.25">
      <c r="A119" s="92">
        <v>36</v>
      </c>
      <c r="B119" s="99" t="str" cm="1">
        <f t="array" ref="B119">IFERROR(IF(AND(teacher_type="R",career_stage="P"),INDEX(RPI[Strand],$A119),IF(AND(teacher_type="R",career_stage="HP"),INDEX(RHPI[Strand],$A119), IF(AND(teacher_type="TB",career_stage="P"),INDEX(TBPI[Strand],$A119), IF(AND(teacher_type="TB",career_stage="HP"),INDEX(TBHPI[Strand],$A119),0)))),0)</f>
        <v>7.4.2</v>
      </c>
      <c r="C119" s="99">
        <f>IFERROR(IF(AND(teacher_type="R",career_stage="P"),VLOOKUP($B119,RPI[[Strand]:[Domain]],COLUMNS(RPI[[Strand]:[Domain]]),FALSE), IF(AND(teacher_type="R",career_stage="HP"),VLOOKUP($B119,RHPI[[Strand]:[Domain]],COLUMNS(RHPI[[Strand]:[Domain]]),FALSE), IF(AND(teacher_type="TB",career_stage="P"),VLOOKUP($B119,TBPI[[Strand]:[Domain]],COLUMNS(TBPI[[Strand]:[Domain]]),FALSE), IF(AND(teacher_type="TB",career_stage="HP"),VLOOKUP($B119,TBHPI[[Strand]:[Domain]],COLUMNS(TBHPI[[Strand]:[Domain]]),FALSE),"")))),"")</f>
        <v>4</v>
      </c>
      <c r="D119" s="99" t="b">
        <f>IFERROR(IF(AND(career_stage="P",teacher_type="R"),VLOOKUP(B119,RPI[],COLUMNS(RPI[[Strand]:[Selected]]),FALSE), IF(AND(career_stage="HP",teacher_type="R"),VLOOKUP(B119,RHPI[],COLUMNS(RHPI[[Strand]:[Selected]]),FALSE), IF(AND(career_stage="P",teacher_type="TB"),VLOOKUP(B119,TBPI[],COLUMNS(TBPI[[Strand]:[Selected]]),FALSE), IF(AND(career_stage="HP",teacher_type="TB"),VLOOKUP(B119,TBHPI[],COLUMNS(TBHPI[[Strand]:[Selected]]),FALSE),FALSE)))),FALSE)</f>
        <v>1</v>
      </c>
      <c r="E119" s="92" t="b">
        <f>COUNTIFS($C$12:$C119,C119,$D$12:$D119,TRUE)=1</f>
        <v>0</v>
      </c>
      <c r="F119" s="92" t="b">
        <f>COUNTIFS($C$12:$C119,$C119,$B$12:$B119,$B119,$D$12:$D119,TRUE)=1</f>
        <v>0</v>
      </c>
      <c r="G119" s="99">
        <f>IF($F119,COUNTIFS($C$12:$C119,C119,$F$12:$F119,TRUE),0)</f>
        <v>0</v>
      </c>
      <c r="H119" s="99" t="str">
        <f t="shared" si="43"/>
        <v>7.4.2-T-NCOI</v>
      </c>
      <c r="I119" s="99">
        <f>IF(AND(D119,NOT($A119=$A118)),(COUNTIF($D$11:$D118,TRUE)/3)+1,0)</f>
        <v>0</v>
      </c>
      <c r="J119" s="99" t="s">
        <v>1014</v>
      </c>
      <c r="K119" s="99" t="b">
        <f>IF(AND(teacher_type="R",career_stage="P"),IF(AND(COUNTIFS(RPS[Strand],$B119,RPS[QET],$J119)&gt;0,$D119),TRUE,FALSE), IF(AND(teacher_type="R",career_stage="HP"),IF(AND(COUNTIFS(RHPS[Strand],$B119,RHPS[QET],$J119)&gt;0,$D119),TRUE,FALSE), IF(AND(teacher_type="TB",career_stage="P"),IF(AND(COUNTIFS(TBPS[Strand],$B119,TBPS[QET],$J119)&gt;0,$D119),TRUE,FALSE), IF(AND(teacher_type="TB",career_stage="HP"),IF(AND(COUNTIFS(TBHPS[Strand],$B119,TBHPS[QET],$J119)&gt;0,$D119),TRUE,FALSE),FALSE))))</f>
        <v>1</v>
      </c>
      <c r="L119" s="99" t="str">
        <f>IF($K119,IF(AND(teacher_type="R",career_stage="P"),VLOOKUP($B119,RPI[],COLUMNS(RPI[[Strand]:[user_selected_coi_ncoi]]),FALSE), IF(AND(teacher_type="R",career_stage="HP"),VLOOKUP($B119,RHPI[],COLUMNS(RHPI[[Strand]:[user_selected_coi_ncoi]]),FALSE), IF(AND(teacher_type="TB",career_stage="P"),VLOOKUP($B119,TBPI[],COLUMNS(TBPI[[Strand]:[user_selected_coi_ncoi]]),FALSE), IF(AND(teacher_type="TB",career_stage="HP"),VLOOKUP($B119,TBHPI[],COLUMNS(TBHPI[[Strand]:[user_selected_coi_ncoi]]),FALSE),"")))),"")</f>
        <v>NCOI</v>
      </c>
      <c r="M119" s="99" t="b">
        <f>IF(AND(teacher_type="R",career_stage="P"),IF(AND(COUNTIFS(RPS[Strand],$B119,RPS[QET],M$11)&gt;0,$D119),TRUE,FALSE),IF(AND(teacher_type="R",career_stage="HP"),IF(AND(COUNTIFS(RHPS[Strand],$B119,RHPS[QET],M$11)&gt;0,$D119),TRUE,FALSE), IF(AND(teacher_type="TB",career_stage="P"),IF(AND(COUNTIFS(TBPS[Strand],$B119,TBPS[QET],M$11)&gt;0,$D119),TRUE,FALSE), IF(AND(teacher_type="TB",career_stage="HP"),IF(AND(COUNTIFS(TBHPS[Strand],$B119,TBHPS[QET],M$11)&gt;0,$D119),TRUE,FALSE),FALSE))))</f>
        <v>1</v>
      </c>
      <c r="N119" s="99" t="b">
        <f>IF(AND(teacher_type="R",career_stage="P"),IF(AND(COUNTIFS(RPS[Strand],$B119,RPS[QET],N$11)&gt;0,$D119),TRUE,FALSE),IF(AND(teacher_type="R",career_stage="HP"),IF(AND(COUNTIFS(RHPS[Strand],$B119,RHPS[QET],N$11)&gt;0,$D119),TRUE,FALSE), IF(AND(teacher_type="TB",career_stage="P"),IF(AND(COUNTIFS(TBPS[Strand],$B119,TBPS[QET],N$11)&gt;0,$D119),TRUE,FALSE), IF(AND(teacher_type="TB",career_stage="HP"),IF(AND(COUNTIFS(TBHPS[Strand],$B119,TBHPS[QET],N$11)&gt;0,$D119),TRUE,FALSE),FALSE))))</f>
        <v>1</v>
      </c>
      <c r="O119" s="99" t="b">
        <f>IF(AND(teacher_type="R",career_stage="P"),IF(AND(COUNTIFS(RPS[Strand],$B119,RPS[QET],O$11)&gt;0,$D119),TRUE,FALSE),IF(AND(teacher_type="R",career_stage="HP"),IF(AND(COUNTIFS(RHPS[Strand],$B119,RHPS[QET],O$11)&gt;0,$D119),TRUE,FALSE), IF(AND(teacher_type="TB",career_stage="P"),IF(AND(COUNTIFS(TBPS[Strand],$B119,TBPS[QET],O$11)&gt;0,$D119),TRUE,FALSE), IF(AND(teacher_type="TB",career_stage="HP"),IF(AND(COUNTIFS(TBHPS[Strand],$B119,TBHPS[QET],O$11)&gt;0,$D119),TRUE,FALSE),FALSE))))</f>
        <v>1</v>
      </c>
      <c r="P119" s="710"/>
      <c r="Q119" s="662"/>
      <c r="R119" s="663"/>
      <c r="S119" s="664"/>
      <c r="T119" s="678"/>
      <c r="U119" s="94" t="s">
        <v>1187</v>
      </c>
      <c r="V119" s="391" t="str">
        <f ca="1">IFERROR(IF($O119,IF(AND(career_stage="P",teacher_type="R"),INDEX(INDIRECT("RPS["&amp;V$10&amp;"]"),MATCH($H119,RPS[helper],0),1), IF(AND(career_stage="HP",teacher_type="R"), INDEX(INDIRECT("RHPS["&amp;V$10&amp;"]"),MATCH($H119,RHPS[helper],0),1), IF(AND(career_stage="P",teacher_type="TB"),INDEX(INDIRECT("TBPS["&amp;V$10&amp;"]"),MATCH($H119,TBPS[helper],0),1), IF(AND(career_stage="HP",teacher_type="TB"),INDEX(INDIRECT("TBHPS["&amp;V$10&amp;"]"),MATCH($H119,TBHPS[helper],0),1),"")))),""),"")</f>
        <v>All four (4) submitted MOVs were accomplished within the prescribed RPMS Phase</v>
      </c>
      <c r="W119" s="391" t="str">
        <f ca="1">IFERROR(IF($O119,IF(AND(career_stage="P",teacher_type="R"),INDEX(INDIRECT("RPS["&amp;W$10&amp;"]"),MATCH($H119,RPS[helper],0),1), IF(AND(career_stage="HP",teacher_type="R"), INDEX(INDIRECT("RHPS["&amp;W$10&amp;"]"),MATCH($H119,RHPS[helper],0),1), IF(AND(career_stage="P",teacher_type="TB"),INDEX(INDIRECT("TBPS["&amp;W$10&amp;"]"),MATCH($H119,TBPS[helper],0),1), IF(AND(career_stage="HP",teacher_type="TB"),INDEX(INDIRECT("TBHPS["&amp;W$10&amp;"]"),MATCH($H119,TBHPS[helper],0),1),"")))),""),"")</f>
        <v>Three (3) of the submitted MOVs were accomplished within the prescribed RPMS Phase</v>
      </c>
      <c r="X119" s="391" t="str">
        <f ca="1">IFERROR(IF($O119,IF(AND(career_stage="P",teacher_type="R"),INDEX(INDIRECT("RPS["&amp;X$10&amp;"]"),MATCH($H119,RPS[helper],0),1), IF(AND(career_stage="HP",teacher_type="R"), INDEX(INDIRECT("RHPS["&amp;X$10&amp;"]"),MATCH($H119,RHPS[helper],0),1), IF(AND(career_stage="P",teacher_type="TB"),INDEX(INDIRECT("TBPS["&amp;X$10&amp;"]"),MATCH($H119,TBPS[helper],0),1), IF(AND(career_stage="HP",teacher_type="TB"),INDEX(INDIRECT("TBHPS["&amp;X$10&amp;"]"),MATCH($H119,TBHPS[helper],0),1),"")))),""),"")</f>
        <v>Two (2) of the submitted MOVs were accomplished within the prescribed RPMS Phase</v>
      </c>
      <c r="Y119" s="391" t="str">
        <f ca="1">IFERROR(IF($O119,IF(AND(career_stage="P",teacher_type="R"),INDEX(INDIRECT("RPS["&amp;Y$10&amp;"]"),MATCH($H119,RPS[helper],0),1), IF(AND(career_stage="HP",teacher_type="R"), INDEX(INDIRECT("RHPS["&amp;Y$10&amp;"]"),MATCH($H119,RHPS[helper],0),1), IF(AND(career_stage="P",teacher_type="TB"),INDEX(INDIRECT("TBPS["&amp;Y$10&amp;"]"),MATCH($H119,TBPS[helper],0),1), IF(AND(career_stage="HP",teacher_type="TB"),INDEX(INDIRECT("TBHPS["&amp;Y$10&amp;"]"),MATCH($H119,TBHPS[helper],0),1),"")))),""),"")</f>
        <v>Only one (1) of the submitted MOVs was accomplished within the prescribed RPMS Phase</v>
      </c>
      <c r="Z119" s="391" t="str">
        <f ca="1">IFERROR(IF($O119,IF(AND(career_stage="P",teacher_type="R"),INDEX(INDIRECT("RPS["&amp;Z$10&amp;"]"),MATCH($H119,RPS[helper],0),1), IF(AND(career_stage="HP",teacher_type="R"), INDEX(INDIRECT("RHPS["&amp;Z$10&amp;"]"),MATCH($H119,RHPS[helper],0),1), IF(AND(career_stage="P",teacher_type="TB"),INDEX(INDIRECT("TBPS["&amp;Z$10&amp;"]"),MATCH($H119,TBPS[helper],0),1), IF(AND(career_stage="HP",teacher_type="TB"),INDEX(INDIRECT("TBHPS["&amp;Z$10&amp;"]"),MATCH($H119,TBHPS[helper],0),1),"")))),""),"")</f>
        <v>No acceptable evidence was shown</v>
      </c>
      <c r="AA119" s="391" t="str" cm="1">
        <f t="array" aca="1" ref="AA119" ca="1">IFERROR(INDEX(V119:Z119,6-AD117),"")</f>
        <v>Three (3) of the submitted MOVs were accomplished within the prescribed RPMS Phase</v>
      </c>
      <c r="AB119" s="680"/>
      <c r="AC119" s="680"/>
      <c r="AD119" s="680"/>
      <c r="AE119" s="682"/>
      <c r="AF119" s="661"/>
      <c r="AG119" s="5"/>
    </row>
    <row r="120" spans="1:33" hidden="1" x14ac:dyDescent="0.25">
      <c r="A120" s="92">
        <v>37</v>
      </c>
      <c r="B120" s="99" t="str" cm="1">
        <f t="array" ref="B120">IFERROR(IF(AND(teacher_type="R",career_stage="P"),INDEX(RPI[Strand],$A120),IF(AND(teacher_type="R",career_stage="HP"),INDEX(RHPI[Strand],$A120), IF(AND(teacher_type="TB",career_stage="P"),INDEX(TBPI[Strand],$A120), IF(AND(teacher_type="TB",career_stage="HP"),INDEX(TBHPI[Strand],$A120),0)))),0)</f>
        <v>7.5.2</v>
      </c>
      <c r="C120" s="99">
        <f>IFERROR(IF(AND(teacher_type="R",career_stage="P"),VLOOKUP($B120,RPI[[Strand]:[Domain]],COLUMNS(RPI[[Strand]:[Domain]]),FALSE), IF(AND(teacher_type="R",career_stage="HP"),VLOOKUP($B120,RHPI[[Strand]:[Domain]],COLUMNS(RHPI[[Strand]:[Domain]]),FALSE), IF(AND(teacher_type="TB",career_stage="P"),VLOOKUP($B120,TBPI[[Strand]:[Domain]],COLUMNS(TBPI[[Strand]:[Domain]]),FALSE), IF(AND(teacher_type="TB",career_stage="HP"),VLOOKUP($B120,TBHPI[[Strand]:[Domain]],COLUMNS(TBHPI[[Strand]:[Domain]]),FALSE),"")))),"")</f>
        <v>5</v>
      </c>
      <c r="D120" s="99" t="b">
        <f>IFERROR(IF(AND(career_stage="P",teacher_type="R"),VLOOKUP(B120,RPI[],COLUMNS(RPI[[Strand]:[Selected]]),FALSE), IF(AND(career_stage="HP",teacher_type="R"),VLOOKUP(B120,RHPI[],COLUMNS(RHPI[[Strand]:[Selected]]),FALSE), IF(AND(career_stage="P",teacher_type="TB"),VLOOKUP(B120,TBPI[],COLUMNS(TBPI[[Strand]:[Selected]]),FALSE), IF(AND(career_stage="HP",teacher_type="TB"),VLOOKUP(B120,TBHPI[],COLUMNS(TBHPI[[Strand]:[Selected]]),FALSE),FALSE)))),FALSE)</f>
        <v>0</v>
      </c>
      <c r="E120" s="92" t="b">
        <f>COUNTIFS($C$12:$C120,C120,$D$12:$D120,TRUE)=1</f>
        <v>0</v>
      </c>
      <c r="F120" s="92" t="b">
        <f>COUNTIFS($C$12:$C120,$C120,$B$12:$B120,$B120,$D$12:$D120,TRUE)=1</f>
        <v>0</v>
      </c>
      <c r="G120" s="99">
        <f>IF($F120,COUNTIFS($C$12:$C120,C120,$F$12:$F120,TRUE),0)</f>
        <v>0</v>
      </c>
      <c r="H120" s="99" t="str">
        <f t="shared" si="43"/>
        <v>7.5.2-Q</v>
      </c>
      <c r="I120" s="99">
        <f>IF(AND(D120,NOT($A120=$A119)),(COUNTIF($D$11:$D119,TRUE)/3)+1,0)</f>
        <v>0</v>
      </c>
      <c r="J120" s="99" t="s">
        <v>1012</v>
      </c>
      <c r="K120" s="99" t="b">
        <f>IF(AND(teacher_type="R",career_stage="P"),IF(AND(COUNTIFS(RPS[Strand],$B120,RPS[QET],$J120)&gt;0,$D120),TRUE,FALSE), IF(AND(teacher_type="R",career_stage="HP"),IF(AND(COUNTIFS(RHPS[Strand],$B120,RHPS[QET],$J120)&gt;0,$D120),TRUE,FALSE), IF(AND(teacher_type="TB",career_stage="P"),IF(AND(COUNTIFS(TBPS[Strand],$B120,TBPS[QET],$J120)&gt;0,$D120),TRUE,FALSE), IF(AND(teacher_type="TB",career_stage="HP"),IF(AND(COUNTIFS(TBHPS[Strand],$B120,TBHPS[QET],$J120)&gt;0,$D120),TRUE,FALSE),FALSE))))</f>
        <v>0</v>
      </c>
      <c r="L120" s="99" t="str">
        <f>IF($K120,IF(AND(teacher_type="R",career_stage="P"),VLOOKUP($B120,RPI[],COLUMNS(RPI[[Strand]:[user_selected_coi_ncoi]]),FALSE), IF(AND(teacher_type="R",career_stage="HP"),VLOOKUP($B120,RHPI[],COLUMNS(RHPI[[Strand]:[user_selected_coi_ncoi]]),FALSE), IF(AND(teacher_type="TB",career_stage="P"),VLOOKUP($B120,TBPI[],COLUMNS(TBPI[[Strand]:[user_selected_coi_ncoi]]),FALSE), IF(AND(teacher_type="TB",career_stage="HP"),VLOOKUP($B120,TBHPI[],COLUMNS(TBHPI[[Strand]:[user_selected_coi_ncoi]]),FALSE),"")))),"")</f>
        <v/>
      </c>
      <c r="M120" s="99" t="b">
        <f>IF(AND(teacher_type="R",career_stage="P"),IF(AND(COUNTIFS(RPS[Strand],$B120,RPS[QET],M$11)&gt;0,$D120),TRUE,FALSE),IF(AND(teacher_type="R",career_stage="HP"),IF(AND(COUNTIFS(RHPS[Strand],$B120,RHPS[QET],M$11)&gt;0,$D120),TRUE,FALSE), IF(AND(teacher_type="TB",career_stage="P"),IF(AND(COUNTIFS(TBPS[Strand],$B120,TBPS[QET],M$11)&gt;0,$D120),TRUE,FALSE), IF(AND(teacher_type="TB",career_stage="HP"),IF(AND(COUNTIFS(TBHPS[Strand],$B120,TBHPS[QET],M$11)&gt;0,$D120),TRUE,FALSE),FALSE))))</f>
        <v>0</v>
      </c>
      <c r="N120" s="99" t="b">
        <f>IF(AND(teacher_type="R",career_stage="P"),IF(AND(COUNTIFS(RPS[Strand],$B120,RPS[QET],N$11)&gt;0,$D120),TRUE,FALSE),IF(AND(teacher_type="R",career_stage="HP"),IF(AND(COUNTIFS(RHPS[Strand],$B120,RHPS[QET],N$11)&gt;0,$D120),TRUE,FALSE), IF(AND(teacher_type="TB",career_stage="P"),IF(AND(COUNTIFS(TBPS[Strand],$B120,TBPS[QET],N$11)&gt;0,$D120),TRUE,FALSE), IF(AND(teacher_type="TB",career_stage="HP"),IF(AND(COUNTIFS(TBHPS[Strand],$B120,TBHPS[QET],N$11)&gt;0,$D120),TRUE,FALSE),FALSE))))</f>
        <v>0</v>
      </c>
      <c r="O120" s="99" t="b">
        <f>IF(AND(teacher_type="R",career_stage="P"),IF(AND(COUNTIFS(RPS[Strand],$B120,RPS[QET],O$11)&gt;0,$D120),TRUE,FALSE),IF(AND(teacher_type="R",career_stage="HP"),IF(AND(COUNTIFS(RHPS[Strand],$B120,RHPS[QET],O$11)&gt;0,$D120),TRUE,FALSE), IF(AND(teacher_type="TB",career_stage="P"),IF(AND(COUNTIFS(TBPS[Strand],$B120,TBPS[QET],O$11)&gt;0,$D120),TRUE,FALSE), IF(AND(teacher_type="TB",career_stage="HP"),IF(AND(COUNTIFS(TBHPS[Strand],$B120,TBHPS[QET],O$11)&gt;0,$D120),TRUE,FALSE),FALSE))))</f>
        <v>0</v>
      </c>
      <c r="P120" s="710"/>
      <c r="Q120" s="662" t="str">
        <f>IFERROR(IF(E120,IF(C120="Plus Factor","Plus Factor",C120 &amp; ". " &amp; INDEX(Domains[Domain],MATCH(C120,Domains[Domain_code],0),1)),""),"")</f>
        <v/>
      </c>
      <c r="R120" s="663" t="str">
        <f>IFERROR(IF($F120,$I120 &amp; ". " &amp; IF(AND(career_stage="P",teacher_type="R"), INDEX(RPI[PPST Indicators],MATCH($B120,RPI[Strand],0),1), IF(AND(career_stage="HP",teacher_type="R"),INDEX(RHPI[PPST Indicators],MATCH($B120,RHPI[Strand],0),1), IF(AND(career_stage="P",teacher_type="TB"),INDEX(TBPI[PPST Indicators],MATCH($B120,TBPI[Strand],0),1), IF(AND(career_stage="HP",teacher_type="TB"),INDEX(TBHPI[PPST Indicators],MATCH($B120,TBHPI[Strand],0),1),"")))) &amp; IF(NOT(TRIM(LOWER($C120))="plus factor")," (PPST "&amp;B120&amp;")",""),""),"")</f>
        <v/>
      </c>
      <c r="S120" s="664" t="str" cm="1">
        <f t="array" ref="S120">demographics[rating_period]</f>
        <v>SY 2023-2024</v>
      </c>
      <c r="T120" s="678">
        <f>IFERROR(IF(AND(career_stage="P",teacher_type="R"),VLOOKUP(B120,RPI[],COLUMNS(RPI[[Strand]:[Weight]]),FALSE), IF(AND(career_stage="HP",teacher_type="R"),VLOOKUP(B120,RHPI[],COLUMNS(RHPI[[Strand]:[Weight]]),FALSE), IF(AND(career_stage="P",teacher_type="TB"),VLOOKUP(B120,TBPI[],COLUMNS(TBPI[[Strand]:[Weight]]),FALSE), IF(AND(career_stage="HP",teacher_type="TB"),VLOOKUP(B120,TBHPI[],COLUMNS(TBHPI[[Strand]:[Weight]]),FALSE),0)))),0)</f>
        <v>0</v>
      </c>
      <c r="U120" s="94" t="s">
        <v>1185</v>
      </c>
      <c r="V120" s="391" t="str">
        <f ca="1">IFERROR(IF($M120,IF(AND(career_stage="P",teacher_type="R"),INDEX(INDIRECT("RPS["&amp;V$10&amp;"]"),MATCH($H120,RPS[helper],0),1), IF(AND(career_stage="HP",teacher_type="R"), INDEX(INDIRECT("RHPS["&amp;V$10&amp;"]"),MATCH($H120,RHPS[helper],0),1), IF(AND(career_stage="P",teacher_type="TB"),INDEX(INDIRECT("TBPS["&amp;V$10&amp;"]"),MATCH($H120,TBPS[helper],0),1), IF(AND(career_stage="HP",teacher_type="TB"),INDEX(INDIRECT("TBHPS["&amp;V$10&amp;"]"),MATCH($H120,TBHPS[helper],0),1),"")))),""),"")</f>
        <v/>
      </c>
      <c r="W120" s="391" t="str">
        <f ca="1">IFERROR(IF($M120,IF(AND(career_stage="P",teacher_type="R"),INDEX(INDIRECT("RPS["&amp;W$10&amp;"]"),MATCH($H120,RPS[helper],0),1), IF(AND(career_stage="HP",teacher_type="R"), INDEX(INDIRECT("RHPS["&amp;W$10&amp;"]"),MATCH($H120,RHPS[helper],0),1), IF(AND(career_stage="P",teacher_type="TB"),INDEX(INDIRECT("TBPS["&amp;W$10&amp;"]"),MATCH($H120,TBPS[helper],0),1), IF(AND(career_stage="HP",teacher_type="TB"),INDEX(INDIRECT("TBHPS["&amp;W$10&amp;"]"),MATCH($H120,TBHPS[helper],0),1),"")))),""),"")</f>
        <v/>
      </c>
      <c r="X120" s="391" t="str">
        <f ca="1">IFERROR(IF($M120,IF(AND(career_stage="P",teacher_type="R"),INDEX(INDIRECT("RPS["&amp;X$10&amp;"]"),MATCH($H120,RPS[helper],0),1), IF(AND(career_stage="HP",teacher_type="R"), INDEX(INDIRECT("RHPS["&amp;X$10&amp;"]"),MATCH($H120,RHPS[helper],0),1), IF(AND(career_stage="P",teacher_type="TB"),INDEX(INDIRECT("TBPS["&amp;X$10&amp;"]"),MATCH($H120,TBPS[helper],0),1), IF(AND(career_stage="HP",teacher_type="TB"),INDEX(INDIRECT("TBHPS["&amp;X$10&amp;"]"),MATCH($H120,TBHPS[helper],0),1),"")))),""),"")</f>
        <v/>
      </c>
      <c r="Y120" s="391" t="str">
        <f ca="1">IFERROR(IF($M120,IF(AND(career_stage="P",teacher_type="R"),INDEX(INDIRECT("RPS["&amp;Y$10&amp;"]"),MATCH($H120,RPS[helper],0),1), IF(AND(career_stage="HP",teacher_type="R"), INDEX(INDIRECT("RHPS["&amp;Y$10&amp;"]"),MATCH($H120,RHPS[helper],0),1), IF(AND(career_stage="P",teacher_type="TB"),INDEX(INDIRECT("TBPS["&amp;Y$10&amp;"]"),MATCH($H120,TBPS[helper],0),1), IF(AND(career_stage="HP",teacher_type="TB"),INDEX(INDIRECT("TBHPS["&amp;Y$10&amp;"]"),MATCH($H120,TBHPS[helper],0),1),"")))),""),"")</f>
        <v/>
      </c>
      <c r="Z120" s="391" t="str">
        <f ca="1">IFERROR(IF($M120,IF(AND(career_stage="P",teacher_type="R"),INDEX(INDIRECT("RPS["&amp;Z$10&amp;"]"),MATCH($H120,RPS[helper],0),1), IF(AND(career_stage="HP",teacher_type="R"), INDEX(INDIRECT("RHPS["&amp;Z$10&amp;"]"),MATCH($H120,RHPS[helper],0),1), IF(AND(career_stage="P",teacher_type="TB"),INDEX(INDIRECT("TBPS["&amp;Z$10&amp;"]"),MATCH($H120,TBPS[helper],0),1), IF(AND(career_stage="HP",teacher_type="TB"),INDEX(INDIRECT("TBHPS["&amp;Z$10&amp;"]"),MATCH($H120,TBHPS[helper],0),1),"")))),""),"")</f>
        <v/>
      </c>
      <c r="AA120" s="392" t="str" cm="1">
        <f t="array" ref="AA120">IFERROR(INDEX(V120:Z120,6-AB120),"")</f>
        <v/>
      </c>
      <c r="AB120" s="680" t="str">
        <f>IF('Encoding Part 1'!AB58="","",'Encoding Part 1'!AB58)</f>
        <v/>
      </c>
      <c r="AC120" s="680" t="str">
        <f>IF('Encoding Part 1'!AC58="","",'Encoding Part 1'!AC58)</f>
        <v/>
      </c>
      <c r="AD120" s="680" t="str">
        <f>IF('Encoding Part 1'!AD58="","",'Encoding Part 1'!AD58)</f>
        <v/>
      </c>
      <c r="AE120" s="682">
        <f t="shared" ref="AE120" si="72">IFERROR(ROUNDDOWN(AVERAGE($AB120:$AD120),3),0)</f>
        <v>0</v>
      </c>
      <c r="AF120" s="661">
        <f t="shared" ref="AF120" si="73">ROUNDDOWN($AE120*$T120,3)</f>
        <v>0</v>
      </c>
      <c r="AG120" s="5"/>
    </row>
    <row r="121" spans="1:33" hidden="1" x14ac:dyDescent="0.25">
      <c r="A121" s="92">
        <v>37</v>
      </c>
      <c r="B121" s="99" t="str" cm="1">
        <f t="array" ref="B121">IFERROR(IF(AND(teacher_type="R",career_stage="P"),INDEX(RPI[Strand],$A121),IF(AND(teacher_type="R",career_stage="HP"),INDEX(RHPI[Strand],$A121), IF(AND(teacher_type="TB",career_stage="P"),INDEX(TBPI[Strand],$A121), IF(AND(teacher_type="TB",career_stage="HP"),INDEX(TBHPI[Strand],$A121),0)))),0)</f>
        <v>7.5.2</v>
      </c>
      <c r="C121" s="99">
        <f>IFERROR(IF(AND(teacher_type="R",career_stage="P"),VLOOKUP($B121,RPI[[Strand]:[Domain]],COLUMNS(RPI[[Strand]:[Domain]]),FALSE), IF(AND(teacher_type="R",career_stage="HP"),VLOOKUP($B121,RHPI[[Strand]:[Domain]],COLUMNS(RHPI[[Strand]:[Domain]]),FALSE), IF(AND(teacher_type="TB",career_stage="P"),VLOOKUP($B121,TBPI[[Strand]:[Domain]],COLUMNS(TBPI[[Strand]:[Domain]]),FALSE), IF(AND(teacher_type="TB",career_stage="HP"),VLOOKUP($B121,TBHPI[[Strand]:[Domain]],COLUMNS(TBHPI[[Strand]:[Domain]]),FALSE),"")))),"")</f>
        <v>5</v>
      </c>
      <c r="D121" s="99" t="b">
        <f>IFERROR(IF(AND(career_stage="P",teacher_type="R"),VLOOKUP(B121,RPI[],COLUMNS(RPI[[Strand]:[Selected]]),FALSE), IF(AND(career_stage="HP",teacher_type="R"),VLOOKUP(B121,RHPI[],COLUMNS(RHPI[[Strand]:[Selected]]),FALSE), IF(AND(career_stage="P",teacher_type="TB"),VLOOKUP(B121,TBPI[],COLUMNS(TBPI[[Strand]:[Selected]]),FALSE), IF(AND(career_stage="HP",teacher_type="TB"),VLOOKUP(B121,TBHPI[],COLUMNS(TBHPI[[Strand]:[Selected]]),FALSE),FALSE)))),FALSE)</f>
        <v>0</v>
      </c>
      <c r="E121" s="92" t="b">
        <f>COUNTIFS($C$12:$C121,C121,$D$12:$D121,TRUE)=1</f>
        <v>0</v>
      </c>
      <c r="F121" s="92" t="b">
        <f>COUNTIFS($C$12:$C121,$C121,$B$12:$B121,$B121,$D$12:$D121,TRUE)=1</f>
        <v>0</v>
      </c>
      <c r="G121" s="99">
        <f>IF($F121,COUNTIFS($C$12:$C121,C121,$F$12:$F121,TRUE),0)</f>
        <v>0</v>
      </c>
      <c r="H121" s="99" t="str">
        <f t="shared" si="43"/>
        <v>7.5.2-E</v>
      </c>
      <c r="I121" s="99">
        <f>IF(AND(D121,NOT($A121=$A120)),(COUNTIF($D$11:$D120,TRUE)/3)+1,0)</f>
        <v>0</v>
      </c>
      <c r="J121" s="99" t="s">
        <v>1073</v>
      </c>
      <c r="K121" s="99" t="b">
        <f>IF(AND(teacher_type="R",career_stage="P"),IF(AND(COUNTIFS(RPS[Strand],$B121,RPS[QET],$J121)&gt;0,$D121),TRUE,FALSE), IF(AND(teacher_type="R",career_stage="HP"),IF(AND(COUNTIFS(RHPS[Strand],$B121,RHPS[QET],$J121)&gt;0,$D121),TRUE,FALSE), IF(AND(teacher_type="TB",career_stage="P"),IF(AND(COUNTIFS(TBPS[Strand],$B121,TBPS[QET],$J121)&gt;0,$D121),TRUE,FALSE), IF(AND(teacher_type="TB",career_stage="HP"),IF(AND(COUNTIFS(TBHPS[Strand],$B121,TBHPS[QET],$J121)&gt;0,$D121),TRUE,FALSE),FALSE))))</f>
        <v>0</v>
      </c>
      <c r="L121" s="99" t="str">
        <f>IF($K121,IF(AND(teacher_type="R",career_stage="P"),VLOOKUP($B121,RPI[],COLUMNS(RPI[[Strand]:[user_selected_coi_ncoi]]),FALSE), IF(AND(teacher_type="R",career_stage="HP"),VLOOKUP($B121,RHPI[],COLUMNS(RHPI[[Strand]:[user_selected_coi_ncoi]]),FALSE), IF(AND(teacher_type="TB",career_stage="P"),VLOOKUP($B121,TBPI[],COLUMNS(TBPI[[Strand]:[user_selected_coi_ncoi]]),FALSE), IF(AND(teacher_type="TB",career_stage="HP"),VLOOKUP($B121,TBHPI[],COLUMNS(TBHPI[[Strand]:[user_selected_coi_ncoi]]),FALSE),"")))),"")</f>
        <v/>
      </c>
      <c r="M121" s="99" t="b">
        <f>IF(AND(teacher_type="R",career_stage="P"),IF(AND(COUNTIFS(RPS[Strand],$B121,RPS[QET],M$11)&gt;0,$D121),TRUE,FALSE),IF(AND(teacher_type="R",career_stage="HP"),IF(AND(COUNTIFS(RHPS[Strand],$B121,RHPS[QET],M$11)&gt;0,$D121),TRUE,FALSE), IF(AND(teacher_type="TB",career_stage="P"),IF(AND(COUNTIFS(TBPS[Strand],$B121,TBPS[QET],M$11)&gt;0,$D121),TRUE,FALSE), IF(AND(teacher_type="TB",career_stage="HP"),IF(AND(COUNTIFS(TBHPS[Strand],$B121,TBHPS[QET],M$11)&gt;0,$D121),TRUE,FALSE),FALSE))))</f>
        <v>0</v>
      </c>
      <c r="N121" s="99" t="b">
        <f>IF(AND(teacher_type="R",career_stage="P"),IF(AND(COUNTIFS(RPS[Strand],$B121,RPS[QET],N$11)&gt;0,$D121),TRUE,FALSE),IF(AND(teacher_type="R",career_stage="HP"),IF(AND(COUNTIFS(RHPS[Strand],$B121,RHPS[QET],N$11)&gt;0,$D121),TRUE,FALSE), IF(AND(teacher_type="TB",career_stage="P"),IF(AND(COUNTIFS(TBPS[Strand],$B121,TBPS[QET],N$11)&gt;0,$D121),TRUE,FALSE), IF(AND(teacher_type="TB",career_stage="HP"),IF(AND(COUNTIFS(TBHPS[Strand],$B121,TBHPS[QET],N$11)&gt;0,$D121),TRUE,FALSE),FALSE))))</f>
        <v>0</v>
      </c>
      <c r="O121" s="99" t="b">
        <f>IF(AND(teacher_type="R",career_stage="P"),IF(AND(COUNTIFS(RPS[Strand],$B121,RPS[QET],O$11)&gt;0,$D121),TRUE,FALSE),IF(AND(teacher_type="R",career_stage="HP"),IF(AND(COUNTIFS(RHPS[Strand],$B121,RHPS[QET],O$11)&gt;0,$D121),TRUE,FALSE), IF(AND(teacher_type="TB",career_stage="P"),IF(AND(COUNTIFS(TBPS[Strand],$B121,TBPS[QET],O$11)&gt;0,$D121),TRUE,FALSE), IF(AND(teacher_type="TB",career_stage="HP"),IF(AND(COUNTIFS(TBHPS[Strand],$B121,TBHPS[QET],O$11)&gt;0,$D121),TRUE,FALSE),FALSE))))</f>
        <v>0</v>
      </c>
      <c r="P121" s="710"/>
      <c r="Q121" s="662"/>
      <c r="R121" s="663"/>
      <c r="S121" s="664"/>
      <c r="T121" s="678"/>
      <c r="U121" s="94" t="s">
        <v>1186</v>
      </c>
      <c r="V121" s="391" t="str">
        <f ca="1">IFERROR(IF($N121,IF(AND(career_stage="P",teacher_type="R"),INDEX(INDIRECT("RPS["&amp;V$10&amp;"]"),MATCH($H121,RPS[helper],0),1), IF(AND(career_stage="HP",teacher_type="R"), INDEX(INDIRECT("RHPS["&amp;V$10&amp;"]"),MATCH($H121,RHPS[helper],0),1), IF(AND(career_stage="P",teacher_type="TB"),INDEX(INDIRECT("TBPS["&amp;V$10&amp;"]"),MATCH($H121,TBPS[helper],0),1), IF(AND(career_stage="HP",teacher_type="TB"),INDEX(INDIRECT("TBHPS["&amp;V$10&amp;"]"),MATCH($H121,TBHPS[helper],0),1),"")))),""),"")</f>
        <v/>
      </c>
      <c r="W121" s="391" t="str">
        <f ca="1">IFERROR(IF($N121,IF(AND(career_stage="P",teacher_type="R"),INDEX(INDIRECT("RPS["&amp;W$10&amp;"]"),MATCH($H121,RPS[helper],0),1), IF(AND(career_stage="HP",teacher_type="R"), INDEX(INDIRECT("RHPS["&amp;W$10&amp;"]"),MATCH($H121,RHPS[helper],0),1), IF(AND(career_stage="P",teacher_type="TB"),INDEX(INDIRECT("TBPS["&amp;W$10&amp;"]"),MATCH($H121,TBPS[helper],0),1), IF(AND(career_stage="HP",teacher_type="TB"),INDEX(INDIRECT("TBHPS["&amp;W$10&amp;"]"),MATCH($H121,TBHPS[helper],0),1),"")))),""),"")</f>
        <v/>
      </c>
      <c r="X121" s="391" t="str">
        <f ca="1">IFERROR(IF($N121,IF(AND(career_stage="P",teacher_type="R"),INDEX(INDIRECT("RPS["&amp;X$10&amp;"]"),MATCH($H121,RPS[helper],0),1), IF(AND(career_stage="HP",teacher_type="R"), INDEX(INDIRECT("RHPS["&amp;X$10&amp;"]"),MATCH($H121,RHPS[helper],0),1), IF(AND(career_stage="P",teacher_type="TB"),INDEX(INDIRECT("TBPS["&amp;X$10&amp;"]"),MATCH($H121,TBPS[helper],0),1), IF(AND(career_stage="HP",teacher_type="TB"),INDEX(INDIRECT("TBHPS["&amp;X$10&amp;"]"),MATCH($H121,TBHPS[helper],0),1),"")))),""),"")</f>
        <v/>
      </c>
      <c r="Y121" s="391" t="str">
        <f ca="1">IFERROR(IF($N121,IF(AND(career_stage="P",teacher_type="R"),INDEX(INDIRECT("RPS["&amp;Y$10&amp;"]"),MATCH($H121,RPS[helper],0),1), IF(AND(career_stage="HP",teacher_type="R"), INDEX(INDIRECT("RHPS["&amp;Y$10&amp;"]"),MATCH($H121,RHPS[helper],0),1), IF(AND(career_stage="P",teacher_type="TB"),INDEX(INDIRECT("TBPS["&amp;Y$10&amp;"]"),MATCH($H121,TBPS[helper],0),1), IF(AND(career_stage="HP",teacher_type="TB"),INDEX(INDIRECT("TBHPS["&amp;Y$10&amp;"]"),MATCH($H121,TBHPS[helper],0),1),"")))),""),"")</f>
        <v/>
      </c>
      <c r="Z121" s="391" t="str">
        <f ca="1">IFERROR(IF($N121,IF(AND(career_stage="P",teacher_type="R"),INDEX(INDIRECT("RPS["&amp;Z$10&amp;"]"),MATCH($H121,RPS[helper],0),1), IF(AND(career_stage="HP",teacher_type="R"), INDEX(INDIRECT("RHPS["&amp;Z$10&amp;"]"),MATCH($H121,RHPS[helper],0),1), IF(AND(career_stage="P",teacher_type="TB"),INDEX(INDIRECT("TBPS["&amp;Z$10&amp;"]"),MATCH($H121,TBPS[helper],0),1), IF(AND(career_stage="HP",teacher_type="TB"),INDEX(INDIRECT("TBHPS["&amp;Z$10&amp;"]"),MATCH($H121,TBHPS[helper],0),1),"")))),""),"")</f>
        <v/>
      </c>
      <c r="AA121" s="392" t="str" cm="1">
        <f t="array" ref="AA121">IFERROR(INDEX(V121:Z121,6-AC120),"")</f>
        <v/>
      </c>
      <c r="AB121" s="680"/>
      <c r="AC121" s="680"/>
      <c r="AD121" s="680"/>
      <c r="AE121" s="682"/>
      <c r="AF121" s="661"/>
      <c r="AG121" s="5"/>
    </row>
    <row r="122" spans="1:33" hidden="1" x14ac:dyDescent="0.25">
      <c r="A122" s="92">
        <v>37</v>
      </c>
      <c r="B122" s="99" t="str" cm="1">
        <f t="array" ref="B122">IFERROR(IF(AND(teacher_type="R",career_stage="P"),INDEX(RPI[Strand],$A122),IF(AND(teacher_type="R",career_stage="HP"),INDEX(RHPI[Strand],$A122), IF(AND(teacher_type="TB",career_stage="P"),INDEX(TBPI[Strand],$A122), IF(AND(teacher_type="TB",career_stage="HP"),INDEX(TBHPI[Strand],$A122),0)))),0)</f>
        <v>7.5.2</v>
      </c>
      <c r="C122" s="99">
        <f>IFERROR(IF(AND(teacher_type="R",career_stage="P"),VLOOKUP($B122,RPI[[Strand]:[Domain]],COLUMNS(RPI[[Strand]:[Domain]]),FALSE), IF(AND(teacher_type="R",career_stage="HP"),VLOOKUP($B122,RHPI[[Strand]:[Domain]],COLUMNS(RHPI[[Strand]:[Domain]]),FALSE), IF(AND(teacher_type="TB",career_stage="P"),VLOOKUP($B122,TBPI[[Strand]:[Domain]],COLUMNS(TBPI[[Strand]:[Domain]]),FALSE), IF(AND(teacher_type="TB",career_stage="HP"),VLOOKUP($B122,TBHPI[[Strand]:[Domain]],COLUMNS(TBHPI[[Strand]:[Domain]]),FALSE),"")))),"")</f>
        <v>5</v>
      </c>
      <c r="D122" s="99" t="b">
        <f>IFERROR(IF(AND(career_stage="P",teacher_type="R"),VLOOKUP(B122,RPI[],COLUMNS(RPI[[Strand]:[Selected]]),FALSE), IF(AND(career_stage="HP",teacher_type="R"),VLOOKUP(B122,RHPI[],COLUMNS(RHPI[[Strand]:[Selected]]),FALSE), IF(AND(career_stage="P",teacher_type="TB"),VLOOKUP(B122,TBPI[],COLUMNS(TBPI[[Strand]:[Selected]]),FALSE), IF(AND(career_stage="HP",teacher_type="TB"),VLOOKUP(B122,TBHPI[],COLUMNS(TBHPI[[Strand]:[Selected]]),FALSE),FALSE)))),FALSE)</f>
        <v>0</v>
      </c>
      <c r="E122" s="92" t="b">
        <f>COUNTIFS($C$12:$C122,C122,$D$12:$D122,TRUE)=1</f>
        <v>0</v>
      </c>
      <c r="F122" s="92" t="b">
        <f>COUNTIFS($C$12:$C122,$C122,$B$12:$B122,$B122,$D$12:$D122,TRUE)=1</f>
        <v>0</v>
      </c>
      <c r="G122" s="99">
        <f>IF($F122,COUNTIFS($C$12:$C122,C122,$F$12:$F122,TRUE),0)</f>
        <v>0</v>
      </c>
      <c r="H122" s="99" t="str">
        <f t="shared" si="43"/>
        <v>7.5.2-T</v>
      </c>
      <c r="I122" s="99">
        <f>IF(AND(D122,NOT($A122=$A121)),(COUNTIF($D$11:$D121,TRUE)/3)+1,0)</f>
        <v>0</v>
      </c>
      <c r="J122" s="99" t="s">
        <v>1014</v>
      </c>
      <c r="K122" s="99" t="b">
        <f>IF(AND(teacher_type="R",career_stage="P"),IF(AND(COUNTIFS(RPS[Strand],$B122,RPS[QET],$J122)&gt;0,$D122),TRUE,FALSE), IF(AND(teacher_type="R",career_stage="HP"),IF(AND(COUNTIFS(RHPS[Strand],$B122,RHPS[QET],$J122)&gt;0,$D122),TRUE,FALSE), IF(AND(teacher_type="TB",career_stage="P"),IF(AND(COUNTIFS(TBPS[Strand],$B122,TBPS[QET],$J122)&gt;0,$D122),TRUE,FALSE), IF(AND(teacher_type="TB",career_stage="HP"),IF(AND(COUNTIFS(TBHPS[Strand],$B122,TBHPS[QET],$J122)&gt;0,$D122),TRUE,FALSE),FALSE))))</f>
        <v>0</v>
      </c>
      <c r="L122" s="99" t="str">
        <f>IF($K122,IF(AND(teacher_type="R",career_stage="P"),VLOOKUP($B122,RPI[],COLUMNS(RPI[[Strand]:[user_selected_coi_ncoi]]),FALSE), IF(AND(teacher_type="R",career_stage="HP"),VLOOKUP($B122,RHPI[],COLUMNS(RHPI[[Strand]:[user_selected_coi_ncoi]]),FALSE), IF(AND(teacher_type="TB",career_stage="P"),VLOOKUP($B122,TBPI[],COLUMNS(TBPI[[Strand]:[user_selected_coi_ncoi]]),FALSE), IF(AND(teacher_type="TB",career_stage="HP"),VLOOKUP($B122,TBHPI[],COLUMNS(TBHPI[[Strand]:[user_selected_coi_ncoi]]),FALSE),"")))),"")</f>
        <v/>
      </c>
      <c r="M122" s="99" t="b">
        <f>IF(AND(teacher_type="R",career_stage="P"),IF(AND(COUNTIFS(RPS[Strand],$B122,RPS[QET],M$11)&gt;0,$D122),TRUE,FALSE),IF(AND(teacher_type="R",career_stage="HP"),IF(AND(COUNTIFS(RHPS[Strand],$B122,RHPS[QET],M$11)&gt;0,$D122),TRUE,FALSE), IF(AND(teacher_type="TB",career_stage="P"),IF(AND(COUNTIFS(TBPS[Strand],$B122,TBPS[QET],M$11)&gt;0,$D122),TRUE,FALSE), IF(AND(teacher_type="TB",career_stage="HP"),IF(AND(COUNTIFS(TBHPS[Strand],$B122,TBHPS[QET],M$11)&gt;0,$D122),TRUE,FALSE),FALSE))))</f>
        <v>0</v>
      </c>
      <c r="N122" s="99" t="b">
        <f>IF(AND(teacher_type="R",career_stage="P"),IF(AND(COUNTIFS(RPS[Strand],$B122,RPS[QET],N$11)&gt;0,$D122),TRUE,FALSE),IF(AND(teacher_type="R",career_stage="HP"),IF(AND(COUNTIFS(RHPS[Strand],$B122,RHPS[QET],N$11)&gt;0,$D122),TRUE,FALSE), IF(AND(teacher_type="TB",career_stage="P"),IF(AND(COUNTIFS(TBPS[Strand],$B122,TBPS[QET],N$11)&gt;0,$D122),TRUE,FALSE), IF(AND(teacher_type="TB",career_stage="HP"),IF(AND(COUNTIFS(TBHPS[Strand],$B122,TBHPS[QET],N$11)&gt;0,$D122),TRUE,FALSE),FALSE))))</f>
        <v>0</v>
      </c>
      <c r="O122" s="99" t="b">
        <f>IF(AND(teacher_type="R",career_stage="P"),IF(AND(COUNTIFS(RPS[Strand],$B122,RPS[QET],O$11)&gt;0,$D122),TRUE,FALSE),IF(AND(teacher_type="R",career_stage="HP"),IF(AND(COUNTIFS(RHPS[Strand],$B122,RHPS[QET],O$11)&gt;0,$D122),TRUE,FALSE), IF(AND(teacher_type="TB",career_stage="P"),IF(AND(COUNTIFS(TBPS[Strand],$B122,TBPS[QET],O$11)&gt;0,$D122),TRUE,FALSE), IF(AND(teacher_type="TB",career_stage="HP"),IF(AND(COUNTIFS(TBHPS[Strand],$B122,TBHPS[QET],O$11)&gt;0,$D122),TRUE,FALSE),FALSE))))</f>
        <v>0</v>
      </c>
      <c r="P122" s="710"/>
      <c r="Q122" s="662"/>
      <c r="R122" s="663"/>
      <c r="S122" s="664"/>
      <c r="T122" s="678"/>
      <c r="U122" s="94" t="s">
        <v>1187</v>
      </c>
      <c r="V122" s="391" t="str">
        <f ca="1">IFERROR(IF($O122,IF(AND(career_stage="P",teacher_type="R"),INDEX(INDIRECT("RPS["&amp;V$10&amp;"]"),MATCH($H122,RPS[helper],0),1), IF(AND(career_stage="HP",teacher_type="R"), INDEX(INDIRECT("RHPS["&amp;V$10&amp;"]"),MATCH($H122,RHPS[helper],0),1), IF(AND(career_stage="P",teacher_type="TB"),INDEX(INDIRECT("TBPS["&amp;V$10&amp;"]"),MATCH($H122,TBPS[helper],0),1), IF(AND(career_stage="HP",teacher_type="TB"),INDEX(INDIRECT("TBHPS["&amp;V$10&amp;"]"),MATCH($H122,TBHPS[helper],0),1),"")))),""),"")</f>
        <v/>
      </c>
      <c r="W122" s="391" t="str">
        <f ca="1">IFERROR(IF($O122,IF(AND(career_stage="P",teacher_type="R"),INDEX(INDIRECT("RPS["&amp;W$10&amp;"]"),MATCH($H122,RPS[helper],0),1), IF(AND(career_stage="HP",teacher_type="R"), INDEX(INDIRECT("RHPS["&amp;W$10&amp;"]"),MATCH($H122,RHPS[helper],0),1), IF(AND(career_stage="P",teacher_type="TB"),INDEX(INDIRECT("TBPS["&amp;W$10&amp;"]"),MATCH($H122,TBPS[helper],0),1), IF(AND(career_stage="HP",teacher_type="TB"),INDEX(INDIRECT("TBHPS["&amp;W$10&amp;"]"),MATCH($H122,TBHPS[helper],0),1),"")))),""),"")</f>
        <v/>
      </c>
      <c r="X122" s="391" t="str">
        <f ca="1">IFERROR(IF($O122,IF(AND(career_stage="P",teacher_type="R"),INDEX(INDIRECT("RPS["&amp;X$10&amp;"]"),MATCH($H122,RPS[helper],0),1), IF(AND(career_stage="HP",teacher_type="R"), INDEX(INDIRECT("RHPS["&amp;X$10&amp;"]"),MATCH($H122,RHPS[helper],0),1), IF(AND(career_stage="P",teacher_type="TB"),INDEX(INDIRECT("TBPS["&amp;X$10&amp;"]"),MATCH($H122,TBPS[helper],0),1), IF(AND(career_stage="HP",teacher_type="TB"),INDEX(INDIRECT("TBHPS["&amp;X$10&amp;"]"),MATCH($H122,TBHPS[helper],0),1),"")))),""),"")</f>
        <v/>
      </c>
      <c r="Y122" s="391" t="str">
        <f ca="1">IFERROR(IF($O122,IF(AND(career_stage="P",teacher_type="R"),INDEX(INDIRECT("RPS["&amp;Y$10&amp;"]"),MATCH($H122,RPS[helper],0),1), IF(AND(career_stage="HP",teacher_type="R"), INDEX(INDIRECT("RHPS["&amp;Y$10&amp;"]"),MATCH($H122,RHPS[helper],0),1), IF(AND(career_stage="P",teacher_type="TB"),INDEX(INDIRECT("TBPS["&amp;Y$10&amp;"]"),MATCH($H122,TBPS[helper],0),1), IF(AND(career_stage="HP",teacher_type="TB"),INDEX(INDIRECT("TBHPS["&amp;Y$10&amp;"]"),MATCH($H122,TBHPS[helper],0),1),"")))),""),"")</f>
        <v/>
      </c>
      <c r="Z122" s="391" t="str">
        <f ca="1">IFERROR(IF($O122,IF(AND(career_stage="P",teacher_type="R"),INDEX(INDIRECT("RPS["&amp;Z$10&amp;"]"),MATCH($H122,RPS[helper],0),1), IF(AND(career_stage="HP",teacher_type="R"), INDEX(INDIRECT("RHPS["&amp;Z$10&amp;"]"),MATCH($H122,RHPS[helper],0),1), IF(AND(career_stage="P",teacher_type="TB"),INDEX(INDIRECT("TBPS["&amp;Z$10&amp;"]"),MATCH($H122,TBPS[helper],0),1), IF(AND(career_stage="HP",teacher_type="TB"),INDEX(INDIRECT("TBHPS["&amp;Z$10&amp;"]"),MATCH($H122,TBHPS[helper],0),1),"")))),""),"")</f>
        <v/>
      </c>
      <c r="AA122" s="391" t="str" cm="1">
        <f t="array" ref="AA122">IFERROR(INDEX(V122:Z122,6-AD120),"")</f>
        <v/>
      </c>
      <c r="AB122" s="680"/>
      <c r="AC122" s="680"/>
      <c r="AD122" s="680"/>
      <c r="AE122" s="682"/>
      <c r="AF122" s="661"/>
      <c r="AG122" s="5"/>
    </row>
    <row r="123" spans="1:33" ht="114.75" x14ac:dyDescent="0.25">
      <c r="A123" s="92">
        <v>38</v>
      </c>
      <c r="B123" s="99" cm="1">
        <f t="array" ref="B123">IFERROR(IF(AND(teacher_type="R",career_stage="P"),INDEX(RPI[Strand],$A123),IF(AND(teacher_type="R",career_stage="HP"),INDEX(RHPI[Strand],$A123), IF(AND(teacher_type="TB",career_stage="P"),INDEX(TBPI[Strand],$A123), IF(AND(teacher_type="TB",career_stage="HP"),INDEX(TBHPI[Strand],$A123),0)))),0)</f>
        <v>15</v>
      </c>
      <c r="C123" s="99" t="str">
        <f>IFERROR(IF(AND(teacher_type="R",career_stage="P"),VLOOKUP($B123,RPI[[Strand]:[Domain]],COLUMNS(RPI[[Strand]:[Domain]]),FALSE), IF(AND(teacher_type="R",career_stage="HP"),VLOOKUP($B123,RHPI[[Strand]:[Domain]],COLUMNS(RHPI[[Strand]:[Domain]]),FALSE), IF(AND(teacher_type="TB",career_stage="P"),VLOOKUP($B123,TBPI[[Strand]:[Domain]],COLUMNS(TBPI[[Strand]:[Domain]]),FALSE), IF(AND(teacher_type="TB",career_stage="HP"),VLOOKUP($B123,TBHPI[[Strand]:[Domain]],COLUMNS(TBHPI[[Strand]:[Domain]]),FALSE),"")))),"")</f>
        <v>Plus Factor</v>
      </c>
      <c r="D123" s="99" t="b">
        <f>IFERROR(IF(AND(career_stage="P",teacher_type="R"),VLOOKUP(B123,RPI[],COLUMNS(RPI[[Strand]:[Selected]]),FALSE), IF(AND(career_stage="HP",teacher_type="R"),VLOOKUP(B123,RHPI[],COLUMNS(RHPI[[Strand]:[Selected]]),FALSE), IF(AND(career_stage="P",teacher_type="TB"),VLOOKUP(B123,TBPI[],COLUMNS(TBPI[[Strand]:[Selected]]),FALSE), IF(AND(career_stage="HP",teacher_type="TB"),VLOOKUP(B123,TBHPI[],COLUMNS(TBHPI[[Strand]:[Selected]]),FALSE),FALSE)))),FALSE)</f>
        <v>1</v>
      </c>
      <c r="E123" s="92" t="b">
        <f>COUNTIFS($C$12:$C123,C123,$D$12:$D123,TRUE)=1</f>
        <v>1</v>
      </c>
      <c r="F123" s="92" t="b">
        <f>COUNTIFS($C$12:$C123,$C123,$B$12:$B123,$B123,$D$12:$D123,TRUE)=1</f>
        <v>1</v>
      </c>
      <c r="G123" s="99">
        <f>IF($F123,COUNTIFS($C$12:$C123,C123,$F$12:$F123,TRUE),0)</f>
        <v>1</v>
      </c>
      <c r="H123" s="99" t="str">
        <f t="shared" si="43"/>
        <v>15-Q-NCOI</v>
      </c>
      <c r="I123" s="99">
        <f>IF(AND(D123,NOT($A123=$A122)),(COUNTIF($D$11:$D122,TRUE)/3)+1,0)</f>
        <v>15</v>
      </c>
      <c r="J123" s="99" t="s">
        <v>1012</v>
      </c>
      <c r="K123" s="99" t="b">
        <f>IF(AND(teacher_type="R",career_stage="P"),IF(AND(COUNTIFS(RPS[Strand],$B123,RPS[QET],$J123)&gt;0,$D123),TRUE,FALSE), IF(AND(teacher_type="R",career_stage="HP"),IF(AND(COUNTIFS(RHPS[Strand],$B123,RHPS[QET],$J123)&gt;0,$D123),TRUE,FALSE), IF(AND(teacher_type="TB",career_stage="P"),IF(AND(COUNTIFS(TBPS[Strand],$B123,TBPS[QET],$J123)&gt;0,$D123),TRUE,FALSE), IF(AND(teacher_type="TB",career_stage="HP"),IF(AND(COUNTIFS(TBHPS[Strand],$B123,TBHPS[QET],$J123)&gt;0,$D123),TRUE,FALSE),FALSE))))</f>
        <v>1</v>
      </c>
      <c r="L123" s="99" t="str">
        <f>IF($K123,IF(AND(teacher_type="R",career_stage="P"),VLOOKUP($B123,RPI[],COLUMNS(RPI[[Strand]:[user_selected_coi_ncoi]]),FALSE), IF(AND(teacher_type="R",career_stage="HP"),VLOOKUP($B123,RHPI[],COLUMNS(RHPI[[Strand]:[user_selected_coi_ncoi]]),FALSE), IF(AND(teacher_type="TB",career_stage="P"),VLOOKUP($B123,TBPI[],COLUMNS(TBPI[[Strand]:[user_selected_coi_ncoi]]),FALSE), IF(AND(teacher_type="TB",career_stage="HP"),VLOOKUP($B123,TBHPI[],COLUMNS(TBHPI[[Strand]:[user_selected_coi_ncoi]]),FALSE),"")))),"")</f>
        <v>NCOI</v>
      </c>
      <c r="M123" s="99" t="b">
        <f>IF(AND(teacher_type="R",career_stage="P"),IF(AND(COUNTIFS(RPS[Strand],$B123,RPS[QET],M$11)&gt;0,$D123),TRUE,FALSE),IF(AND(teacher_type="R",career_stage="HP"),IF(AND(COUNTIFS(RHPS[Strand],$B123,RHPS[QET],M$11)&gt;0,$D123),TRUE,FALSE), IF(AND(teacher_type="TB",career_stage="P"),IF(AND(COUNTIFS(TBPS[Strand],$B123,TBPS[QET],M$11)&gt;0,$D123),TRUE,FALSE), IF(AND(teacher_type="TB",career_stage="HP"),IF(AND(COUNTIFS(TBHPS[Strand],$B123,TBHPS[QET],M$11)&gt;0,$D123),TRUE,FALSE),FALSE))))</f>
        <v>1</v>
      </c>
      <c r="N123" s="99" t="b">
        <f>IF(AND(teacher_type="R",career_stage="P"),IF(AND(COUNTIFS(RPS[Strand],$B123,RPS[QET],N$11)&gt;0,$D123),TRUE,FALSE),IF(AND(teacher_type="R",career_stage="HP"),IF(AND(COUNTIFS(RHPS[Strand],$B123,RHPS[QET],N$11)&gt;0,$D123),TRUE,FALSE), IF(AND(teacher_type="TB",career_stage="P"),IF(AND(COUNTIFS(TBPS[Strand],$B123,TBPS[QET],N$11)&gt;0,$D123),TRUE,FALSE), IF(AND(teacher_type="TB",career_stage="HP"),IF(AND(COUNTIFS(TBHPS[Strand],$B123,TBHPS[QET],N$11)&gt;0,$D123),TRUE,FALSE),FALSE))))</f>
        <v>1</v>
      </c>
      <c r="O123" s="99" t="b">
        <f>IF(AND(teacher_type="R",career_stage="P"),IF(AND(COUNTIFS(RPS[Strand],$B123,RPS[QET],O$11)&gt;0,$D123),TRUE,FALSE),IF(AND(teacher_type="R",career_stage="HP"),IF(AND(COUNTIFS(RHPS[Strand],$B123,RHPS[QET],O$11)&gt;0,$D123),TRUE,FALSE), IF(AND(teacher_type="TB",career_stage="P"),IF(AND(COUNTIFS(TBPS[Strand],$B123,TBPS[QET],O$11)&gt;0,$D123),TRUE,FALSE), IF(AND(teacher_type="TB",career_stage="HP"),IF(AND(COUNTIFS(TBHPS[Strand],$B123,TBHPS[QET],O$11)&gt;0,$D123),TRUE,FALSE),FALSE))))</f>
        <v>1</v>
      </c>
      <c r="P123" s="710"/>
      <c r="Q123" s="662" t="str">
        <f>IFERROR(IF(E123,IF(C123="Plus Factor","Plus Factor",C123 &amp; ". " &amp; INDEX(Domains[Domain],MATCH(C123,Domains[Domain_code],0),1)),""),"")</f>
        <v>Plus Factor</v>
      </c>
      <c r="R123" s="663" t="str">
        <f>IFERROR(IF($F123,$I123 &amp; ". " &amp; IF(AND(career_stage="P",teacher_type="R"), INDEX(RPI[PPST Indicators],MATCH($B123,RPI[Strand],0),1), IF(AND(career_stage="HP",teacher_type="R"),INDEX(RHPI[PPST Indicators],MATCH($B123,RHPI[Strand],0),1), IF(AND(career_stage="P",teacher_type="TB"),INDEX(TBPI[PPST Indicators],MATCH($B123,TBPI[Strand],0),1), IF(AND(career_stage="HP",teacher_type="TB"),INDEX(TBHPI[PPST Indicators],MATCH($B123,TBHPI[Strand],0),1),"")))) &amp; IF(NOT(TRIM(LOWER($C123))="plus factor")," (PPST "&amp;B123&amp;")",""),""),"")</f>
        <v>15. Performed various related works/activities that contribute to the teaching learning process</v>
      </c>
      <c r="S123" s="664" t="str" cm="1">
        <f t="array" ref="S123">demographics[rating_period]</f>
        <v>SY 2023-2024</v>
      </c>
      <c r="T123" s="678">
        <f>IFERROR(IF(AND(career_stage="P",teacher_type="R"),VLOOKUP(B123,RPI[],COLUMNS(RPI[[Strand]:[Weight]]),FALSE), IF(AND(career_stage="HP",teacher_type="R"),VLOOKUP(B123,RHPI[],COLUMNS(RHPI[[Strand]:[Weight]]),FALSE), IF(AND(career_stage="P",teacher_type="TB"),VLOOKUP(B123,TBPI[],COLUMNS(TBPI[[Strand]:[Weight]]),FALSE), IF(AND(career_stage="HP",teacher_type="TB"),VLOOKUP(B123,TBHPI[],COLUMNS(TBHPI[[Strand]:[Weight]]),FALSE),0)))),0)</f>
        <v>0.02</v>
      </c>
      <c r="U123" s="94" t="s">
        <v>1185</v>
      </c>
      <c r="V123" s="391" t="str">
        <f ca="1">IFERROR(IF($M123,IF(AND(career_stage="P",teacher_type="R"),INDEX(INDIRECT("RPS["&amp;V$10&amp;"]"),MATCH($H123,RPS[helper],0),1), IF(AND(career_stage="HP",teacher_type="R"), INDEX(INDIRECT("RHPS["&amp;V$10&amp;"]"),MATCH($H123,RHPS[helper],0),1), IF(AND(career_stage="P",teacher_type="TB"),INDEX(INDIRECT("TBPS["&amp;V$10&amp;"]"),MATCH($H123,TBPS[helper],0),1), IF(AND(career_stage="HP",teacher_type="TB"),INDEX(INDIRECT("TBHPS["&amp;V$10&amp;"]"),MATCH($H123,TBHPS[helper],0),1),"")))),""),"")</f>
        <v>Performed at least one (1) related work / activity that contributed to the teaching-learning process beyond the school / Community Learning Center (CLC) as evidenced by the submitted MOV.</v>
      </c>
      <c r="W123" s="391" t="str">
        <f ca="1">IFERROR(IF($M123,IF(AND(career_stage="P",teacher_type="R"),INDEX(INDIRECT("RPS["&amp;W$10&amp;"]"),MATCH($H123,RPS[helper],0),1), IF(AND(career_stage="HP",teacher_type="R"), INDEX(INDIRECT("RHPS["&amp;W$10&amp;"]"),MATCH($H123,RHPS[helper],0),1), IF(AND(career_stage="P",teacher_type="TB"),INDEX(INDIRECT("TBPS["&amp;W$10&amp;"]"),MATCH($H123,TBPS[helper],0),1), IF(AND(career_stage="HP",teacher_type="TB"),INDEX(INDIRECT("TBHPS["&amp;W$10&amp;"]"),MATCH($H123,TBHPS[helper],0),1),"")))),""),"")</f>
        <v>Performed at least one (1) related work / activity that contributed to the teaching-learning process within the school / Community Learning Center (CLC) as evidenced by the submitted MOV.</v>
      </c>
      <c r="X123" s="391" t="str">
        <f ca="1">IFERROR(IF($M123,IF(AND(career_stage="P",teacher_type="R"),INDEX(INDIRECT("RPS["&amp;X$10&amp;"]"),MATCH($H123,RPS[helper],0),1), IF(AND(career_stage="HP",teacher_type="R"), INDEX(INDIRECT("RHPS["&amp;X$10&amp;"]"),MATCH($H123,RHPS[helper],0),1), IF(AND(career_stage="P",teacher_type="TB"),INDEX(INDIRECT("TBPS["&amp;X$10&amp;"]"),MATCH($H123,TBPS[helper],0),1), IF(AND(career_stage="HP",teacher_type="TB"),INDEX(INDIRECT("TBHPS["&amp;X$10&amp;"]"),MATCH($H123,TBHPS[helper],0),1),"")))),""),"")</f>
        <v>Performed at least one (1) related work / activity that contributed to the teaching-learning process within the learning area/department as evidenced by the submitted MOV.</v>
      </c>
      <c r="Y123" s="391" t="str">
        <f ca="1">IFERROR(IF($M123,IF(AND(career_stage="P",teacher_type="R"),INDEX(INDIRECT("RPS["&amp;Y$10&amp;"]"),MATCH($H123,RPS[helper],0),1), IF(AND(career_stage="HP",teacher_type="R"), INDEX(INDIRECT("RHPS["&amp;Y$10&amp;"]"),MATCH($H123,RHPS[helper],0),1), IF(AND(career_stage="P",teacher_type="TB"),INDEX(INDIRECT("TBPS["&amp;Y$10&amp;"]"),MATCH($H123,TBPS[helper],0),1), IF(AND(career_stage="HP",teacher_type="TB"),INDEX(INDIRECT("TBHPS["&amp;Y$10&amp;"]"),MATCH($H123,TBHPS[helper],0),1),"")))),""),"")</f>
        <v>Performed at least one (1) related work / activity that contributed to the teaching-learning process within the class as evidenced by the submitted MOV.</v>
      </c>
      <c r="Z123" s="391" t="str">
        <f ca="1">IFERROR(IF($M123,IF(AND(career_stage="P",teacher_type="R"),INDEX(INDIRECT("RPS["&amp;Z$10&amp;"]"),MATCH($H123,RPS[helper],0),1), IF(AND(career_stage="HP",teacher_type="R"), INDEX(INDIRECT("RHPS["&amp;Z$10&amp;"]"),MATCH($H123,RHPS[helper],0),1), IF(AND(career_stage="P",teacher_type="TB"),INDEX(INDIRECT("TBPS["&amp;Z$10&amp;"]"),MATCH($H123,TBPS[helper],0),1), IF(AND(career_stage="HP",teacher_type="TB"),INDEX(INDIRECT("TBHPS["&amp;Z$10&amp;"]"),MATCH($H123,TBHPS[helper],0),1),"")))),""),"")</f>
        <v>No acceptable evidence was shown</v>
      </c>
      <c r="AA123" s="392" t="str" cm="1">
        <f t="array" aca="1" ref="AA123" ca="1">IFERROR(INDEX(V123:Z123,6-AB123),"")</f>
        <v>Performed at least one (1) related work / activity that contributed to the teaching-learning process within the school / Community Learning Center (CLC) as evidenced by the submitted MOV.</v>
      </c>
      <c r="AB123" s="680">
        <f>IF('Encoding Part 1'!AB59="","",'Encoding Part 1'!AB59)</f>
        <v>4</v>
      </c>
      <c r="AC123" s="680">
        <f>IF('Encoding Part 1'!AC59="","",'Encoding Part 1'!AC59)</f>
        <v>3</v>
      </c>
      <c r="AD123" s="680">
        <f>IF('Encoding Part 1'!AD59="","",'Encoding Part 1'!AD59)</f>
        <v>4</v>
      </c>
      <c r="AE123" s="682">
        <f t="shared" ref="AE123" si="74">IFERROR(ROUNDDOWN(AVERAGE($AB123:$AD123),3),0)</f>
        <v>3.6659999999999999</v>
      </c>
      <c r="AF123" s="661">
        <f t="shared" ref="AF123" si="75">ROUNDDOWN($AE123*$T123,3)</f>
        <v>7.2999999999999995E-2</v>
      </c>
      <c r="AG123" s="5"/>
    </row>
    <row r="124" spans="1:33" ht="89.25" x14ac:dyDescent="0.25">
      <c r="A124" s="92">
        <v>38</v>
      </c>
      <c r="B124" s="99" cm="1">
        <f t="array" ref="B124">IFERROR(IF(AND(teacher_type="R",career_stage="P"),INDEX(RPI[Strand],$A124),IF(AND(teacher_type="R",career_stage="HP"),INDEX(RHPI[Strand],$A124), IF(AND(teacher_type="TB",career_stage="P"),INDEX(TBPI[Strand],$A124), IF(AND(teacher_type="TB",career_stage="HP"),INDEX(TBHPI[Strand],$A124),0)))),0)</f>
        <v>15</v>
      </c>
      <c r="C124" s="99" t="str">
        <f>IFERROR(IF(AND(teacher_type="R",career_stage="P"),VLOOKUP($B124,RPI[[Strand]:[Domain]],COLUMNS(RPI[[Strand]:[Domain]]),FALSE), IF(AND(teacher_type="R",career_stage="HP"),VLOOKUP($B124,RHPI[[Strand]:[Domain]],COLUMNS(RHPI[[Strand]:[Domain]]),FALSE), IF(AND(teacher_type="TB",career_stage="P"),VLOOKUP($B124,TBPI[[Strand]:[Domain]],COLUMNS(TBPI[[Strand]:[Domain]]),FALSE), IF(AND(teacher_type="TB",career_stage="HP"),VLOOKUP($B124,TBHPI[[Strand]:[Domain]],COLUMNS(TBHPI[[Strand]:[Domain]]),FALSE),"")))),"")</f>
        <v>Plus Factor</v>
      </c>
      <c r="D124" s="99" t="b">
        <f>IFERROR(IF(AND(career_stage="P",teacher_type="R"),VLOOKUP(B124,RPI[],COLUMNS(RPI[[Strand]:[Selected]]),FALSE), IF(AND(career_stage="HP",teacher_type="R"),VLOOKUP(B124,RHPI[],COLUMNS(RHPI[[Strand]:[Selected]]),FALSE), IF(AND(career_stage="P",teacher_type="TB"),VLOOKUP(B124,TBPI[],COLUMNS(TBPI[[Strand]:[Selected]]),FALSE), IF(AND(career_stage="HP",teacher_type="TB"),VLOOKUP(B124,TBHPI[],COLUMNS(TBHPI[[Strand]:[Selected]]),FALSE),FALSE)))),FALSE)</f>
        <v>1</v>
      </c>
      <c r="E124" s="92" t="b">
        <f>COUNTIFS($C$12:$C124,C124,$D$12:$D124,TRUE)=1</f>
        <v>0</v>
      </c>
      <c r="F124" s="92" t="b">
        <f>COUNTIFS($C$12:$C124,$C124,$B$12:$B124,$B124,$D$12:$D124,TRUE)=1</f>
        <v>0</v>
      </c>
      <c r="G124" s="99">
        <f>IF($F124,COUNTIFS($C$12:$C124,C124,$F$12:$F124,TRUE),0)</f>
        <v>0</v>
      </c>
      <c r="H124" s="99" t="str">
        <f t="shared" si="43"/>
        <v>15-E-NCOI</v>
      </c>
      <c r="I124" s="99">
        <f>IF(AND(D124,NOT($A124=$A123)),(COUNTIF($D$11:$D123,TRUE)/3)+1,0)</f>
        <v>0</v>
      </c>
      <c r="J124" s="99" t="s">
        <v>1073</v>
      </c>
      <c r="K124" s="99" t="b">
        <f>IF(AND(teacher_type="R",career_stage="P"),IF(AND(COUNTIFS(RPS[Strand],$B124,RPS[QET],$J124)&gt;0,$D124),TRUE,FALSE), IF(AND(teacher_type="R",career_stage="HP"),IF(AND(COUNTIFS(RHPS[Strand],$B124,RHPS[QET],$J124)&gt;0,$D124),TRUE,FALSE), IF(AND(teacher_type="TB",career_stage="P"),IF(AND(COUNTIFS(TBPS[Strand],$B124,TBPS[QET],$J124)&gt;0,$D124),TRUE,FALSE), IF(AND(teacher_type="TB",career_stage="HP"),IF(AND(COUNTIFS(TBHPS[Strand],$B124,TBHPS[QET],$J124)&gt;0,$D124),TRUE,FALSE),FALSE))))</f>
        <v>1</v>
      </c>
      <c r="L124" s="99" t="str">
        <f>IF($K124,IF(AND(teacher_type="R",career_stage="P"),VLOOKUP($B124,RPI[],COLUMNS(RPI[[Strand]:[user_selected_coi_ncoi]]),FALSE), IF(AND(teacher_type="R",career_stage="HP"),VLOOKUP($B124,RHPI[],COLUMNS(RHPI[[Strand]:[user_selected_coi_ncoi]]),FALSE), IF(AND(teacher_type="TB",career_stage="P"),VLOOKUP($B124,TBPI[],COLUMNS(TBPI[[Strand]:[user_selected_coi_ncoi]]),FALSE), IF(AND(teacher_type="TB",career_stage="HP"),VLOOKUP($B124,TBHPI[],COLUMNS(TBHPI[[Strand]:[user_selected_coi_ncoi]]),FALSE),"")))),"")</f>
        <v>NCOI</v>
      </c>
      <c r="M124" s="99" t="b">
        <f>IF(AND(teacher_type="R",career_stage="P"),IF(AND(COUNTIFS(RPS[Strand],$B124,RPS[QET],M$11)&gt;0,$D124),TRUE,FALSE),IF(AND(teacher_type="R",career_stage="HP"),IF(AND(COUNTIFS(RHPS[Strand],$B124,RHPS[QET],M$11)&gt;0,$D124),TRUE,FALSE), IF(AND(teacher_type="TB",career_stage="P"),IF(AND(COUNTIFS(TBPS[Strand],$B124,TBPS[QET],M$11)&gt;0,$D124),TRUE,FALSE), IF(AND(teacher_type="TB",career_stage="HP"),IF(AND(COUNTIFS(TBHPS[Strand],$B124,TBHPS[QET],M$11)&gt;0,$D124),TRUE,FALSE),FALSE))))</f>
        <v>1</v>
      </c>
      <c r="N124" s="99" t="b">
        <f>IF(AND(teacher_type="R",career_stage="P"),IF(AND(COUNTIFS(RPS[Strand],$B124,RPS[QET],N$11)&gt;0,$D124),TRUE,FALSE),IF(AND(teacher_type="R",career_stage="HP"),IF(AND(COUNTIFS(RHPS[Strand],$B124,RHPS[QET],N$11)&gt;0,$D124),TRUE,FALSE), IF(AND(teacher_type="TB",career_stage="P"),IF(AND(COUNTIFS(TBPS[Strand],$B124,TBPS[QET],N$11)&gt;0,$D124),TRUE,FALSE), IF(AND(teacher_type="TB",career_stage="HP"),IF(AND(COUNTIFS(TBHPS[Strand],$B124,TBHPS[QET],N$11)&gt;0,$D124),TRUE,FALSE),FALSE))))</f>
        <v>1</v>
      </c>
      <c r="O124" s="99" t="b">
        <f>IF(AND(teacher_type="R",career_stage="P"),IF(AND(COUNTIFS(RPS[Strand],$B124,RPS[QET],O$11)&gt;0,$D124),TRUE,FALSE),IF(AND(teacher_type="R",career_stage="HP"),IF(AND(COUNTIFS(RHPS[Strand],$B124,RHPS[QET],O$11)&gt;0,$D124),TRUE,FALSE), IF(AND(teacher_type="TB",career_stage="P"),IF(AND(COUNTIFS(TBPS[Strand],$B124,TBPS[QET],O$11)&gt;0,$D124),TRUE,FALSE), IF(AND(teacher_type="TB",career_stage="HP"),IF(AND(COUNTIFS(TBHPS[Strand],$B124,TBHPS[QET],O$11)&gt;0,$D124),TRUE,FALSE),FALSE))))</f>
        <v>1</v>
      </c>
      <c r="P124" s="710"/>
      <c r="Q124" s="662"/>
      <c r="R124" s="663"/>
      <c r="S124" s="664"/>
      <c r="T124" s="678"/>
      <c r="U124" s="94" t="s">
        <v>1186</v>
      </c>
      <c r="V124" s="391" t="str">
        <f ca="1">IFERROR(IF($N124,IF(AND(career_stage="P",teacher_type="R"),INDEX(INDIRECT("RPS["&amp;V$10&amp;"]"),MATCH($H124,RPS[helper],0),1), IF(AND(career_stage="HP",teacher_type="R"), INDEX(INDIRECT("RHPS["&amp;V$10&amp;"]"),MATCH($H124,RHPS[helper],0),1), IF(AND(career_stage="P",teacher_type="TB"),INDEX(INDIRECT("TBPS["&amp;V$10&amp;"]"),MATCH($H124,TBPS[helper],0),1), IF(AND(career_stage="HP",teacher_type="TB"),INDEX(INDIRECT("TBHPS["&amp;V$10&amp;"]"),MATCH($H124,TBHPS[helper],0),1),"")))),""),"")</f>
        <v>Submitted MOV that
details the achieved positive contribution to the teaching-learning process, as evidenced by the annotation provided.</v>
      </c>
      <c r="W124" s="391" t="str">
        <f ca="1">IFERROR(IF($N124,IF(AND(career_stage="P",teacher_type="R"),INDEX(INDIRECT("RPS["&amp;W$10&amp;"]"),MATCH($H124,RPS[helper],0),1), IF(AND(career_stage="HP",teacher_type="R"), INDEX(INDIRECT("RHPS["&amp;W$10&amp;"]"),MATCH($H124,RHPS[helper],0),1), IF(AND(career_stage="P",teacher_type="TB"),INDEX(INDIRECT("TBPS["&amp;W$10&amp;"]"),MATCH($H124,TBPS[helper],0),1), IF(AND(career_stage="HP",teacher_type="TB"),INDEX(INDIRECT("TBHPS["&amp;W$10&amp;"]"),MATCH($H124,TBHPS[helper],0),1),"")))),""),"")</f>
        <v>Submitted MOV that
details the perceived positive contribution to the teaching-learning process, as evidenced by the annotation provided.</v>
      </c>
      <c r="X124" s="391" t="str">
        <f ca="1">IFERROR(IF($N124,IF(AND(career_stage="P",teacher_type="R"),INDEX(INDIRECT("RPS["&amp;X$10&amp;"]"),MATCH($H124,RPS[helper],0),1), IF(AND(career_stage="HP",teacher_type="R"), INDEX(INDIRECT("RHPS["&amp;X$10&amp;"]"),MATCH($H124,RHPS[helper],0),1), IF(AND(career_stage="P",teacher_type="TB"),INDEX(INDIRECT("TBPS["&amp;X$10&amp;"]"),MATCH($H124,TBPS[helper],0),1), IF(AND(career_stage="HP",teacher_type="TB"),INDEX(INDIRECT("TBHPS["&amp;X$10&amp;"]"),MATCH($H124,TBHPS[helper],0),1),"")))),""),"")</f>
        <v>Submitted MOV that
shows reasonable interlap with the actual teaching- learning process, as evidenced by the annotation provided.</v>
      </c>
      <c r="Y124" s="391" t="str">
        <f ca="1">IFERROR(IF($N124,IF(AND(career_stage="P",teacher_type="R"),INDEX(INDIRECT("RPS["&amp;Y$10&amp;"]"),MATCH($H124,RPS[helper],0),1), IF(AND(career_stage="HP",teacher_type="R"), INDEX(INDIRECT("RHPS["&amp;Y$10&amp;"]"),MATCH($H124,RHPS[helper],0),1), IF(AND(career_stage="P",teacher_type="TB"),INDEX(INDIRECT("TBPS["&amp;Y$10&amp;"]"),MATCH($H124,TBPS[helper],0),1), IF(AND(career_stage="HP",teacher_type="TB"),INDEX(INDIRECT("TBHPS["&amp;Y$10&amp;"]"),MATCH($H124,TBHPS[helper],0),1),"")))),""),"")</f>
        <v>Submitted MOV that
shows considerable overlap with, hence significantly affecting the performance of the actual teaching- learning process.</v>
      </c>
      <c r="Z124" s="391" t="str">
        <f ca="1">IFERROR(IF($N124,IF(AND(career_stage="P",teacher_type="R"),INDEX(INDIRECT("RPS["&amp;Z$10&amp;"]"),MATCH($H124,RPS[helper],0),1), IF(AND(career_stage="HP",teacher_type="R"), INDEX(INDIRECT("RHPS["&amp;Z$10&amp;"]"),MATCH($H124,RHPS[helper],0),1), IF(AND(career_stage="P",teacher_type="TB"),INDEX(INDIRECT("TBPS["&amp;Z$10&amp;"]"),MATCH($H124,TBPS[helper],0),1), IF(AND(career_stage="HP",teacher_type="TB"),INDEX(INDIRECT("TBHPS["&amp;Z$10&amp;"]"),MATCH($H124,TBHPS[helper],0),1),"")))),""),"")</f>
        <v>No acceptable evidence was shown</v>
      </c>
      <c r="AA124" s="392" t="str" cm="1">
        <f t="array" aca="1" ref="AA124" ca="1">IFERROR(INDEX(V124:Z124,6-AC123),"")</f>
        <v>Submitted MOV that
shows reasonable interlap with the actual teaching- learning process, as evidenced by the annotation provided.</v>
      </c>
      <c r="AB124" s="680"/>
      <c r="AC124" s="680"/>
      <c r="AD124" s="680"/>
      <c r="AE124" s="682"/>
      <c r="AF124" s="661"/>
      <c r="AG124" s="5"/>
    </row>
    <row r="125" spans="1:33" ht="38.25" x14ac:dyDescent="0.25">
      <c r="A125" s="92">
        <v>38</v>
      </c>
      <c r="B125" s="99" cm="1">
        <f t="array" ref="B125">IFERROR(IF(AND(teacher_type="R",career_stage="P"),INDEX(RPI[Strand],$A125),IF(AND(teacher_type="R",career_stage="HP"),INDEX(RHPI[Strand],$A125), IF(AND(teacher_type="TB",career_stage="P"),INDEX(TBPI[Strand],$A125), IF(AND(teacher_type="TB",career_stage="HP"),INDEX(TBHPI[Strand],$A125),0)))),0)</f>
        <v>15</v>
      </c>
      <c r="C125" s="99" t="str">
        <f>IFERROR(IF(AND(teacher_type="R",career_stage="P"),VLOOKUP($B125,RPI[[Strand]:[Domain]],COLUMNS(RPI[[Strand]:[Domain]]),FALSE), IF(AND(teacher_type="R",career_stage="HP"),VLOOKUP($B125,RHPI[[Strand]:[Domain]],COLUMNS(RHPI[[Strand]:[Domain]]),FALSE), IF(AND(teacher_type="TB",career_stage="P"),VLOOKUP($B125,TBPI[[Strand]:[Domain]],COLUMNS(TBPI[[Strand]:[Domain]]),FALSE), IF(AND(teacher_type="TB",career_stage="HP"),VLOOKUP($B125,TBHPI[[Strand]:[Domain]],COLUMNS(TBHPI[[Strand]:[Domain]]),FALSE),"")))),"")</f>
        <v>Plus Factor</v>
      </c>
      <c r="D125" s="99" t="b">
        <f>IFERROR(IF(AND(career_stage="P",teacher_type="R"),VLOOKUP(B125,RPI[],COLUMNS(RPI[[Strand]:[Selected]]),FALSE), IF(AND(career_stage="HP",teacher_type="R"),VLOOKUP(B125,RHPI[],COLUMNS(RHPI[[Strand]:[Selected]]),FALSE), IF(AND(career_stage="P",teacher_type="TB"),VLOOKUP(B125,TBPI[],COLUMNS(TBPI[[Strand]:[Selected]]),FALSE), IF(AND(career_stage="HP",teacher_type="TB"),VLOOKUP(B125,TBHPI[],COLUMNS(TBHPI[[Strand]:[Selected]]),FALSE),FALSE)))),FALSE)</f>
        <v>1</v>
      </c>
      <c r="E125" s="92" t="b">
        <f>COUNTIFS($C$12:$C125,C125,$D$12:$D125,TRUE)=1</f>
        <v>0</v>
      </c>
      <c r="F125" s="92" t="b">
        <f>COUNTIFS($C$12:$C125,$C125,$B$12:$B125,$B125,$D$12:$D125,TRUE)=1</f>
        <v>0</v>
      </c>
      <c r="G125" s="99">
        <f>IF($F125,COUNTIFS($C$12:$C125,C125,$F$12:$F125,TRUE),0)</f>
        <v>0</v>
      </c>
      <c r="H125" s="99" t="str">
        <f t="shared" si="43"/>
        <v>15-T-NCOI</v>
      </c>
      <c r="I125" s="99">
        <f>IF(AND(D125,NOT($A125=$A124)),(COUNTIF($D$11:$D124,TRUE)/3)+1,0)</f>
        <v>0</v>
      </c>
      <c r="J125" s="99" t="s">
        <v>1014</v>
      </c>
      <c r="K125" s="99" t="b">
        <f>IF(AND(teacher_type="R",career_stage="P"),IF(AND(COUNTIFS(RPS[Strand],$B125,RPS[QET],$J125)&gt;0,$D125),TRUE,FALSE), IF(AND(teacher_type="R",career_stage="HP"),IF(AND(COUNTIFS(RHPS[Strand],$B125,RHPS[QET],$J125)&gt;0,$D125),TRUE,FALSE), IF(AND(teacher_type="TB",career_stage="P"),IF(AND(COUNTIFS(TBPS[Strand],$B125,TBPS[QET],$J125)&gt;0,$D125),TRUE,FALSE), IF(AND(teacher_type="TB",career_stage="HP"),IF(AND(COUNTIFS(TBHPS[Strand],$B125,TBHPS[QET],$J125)&gt;0,$D125),TRUE,FALSE),FALSE))))</f>
        <v>1</v>
      </c>
      <c r="L125" s="99" t="str">
        <f>IF($K125,IF(AND(teacher_type="R",career_stage="P"),VLOOKUP($B125,RPI[],COLUMNS(RPI[[Strand]:[user_selected_coi_ncoi]]),FALSE), IF(AND(teacher_type="R",career_stage="HP"),VLOOKUP($B125,RHPI[],COLUMNS(RHPI[[Strand]:[user_selected_coi_ncoi]]),FALSE), IF(AND(teacher_type="TB",career_stage="P"),VLOOKUP($B125,TBPI[],COLUMNS(TBPI[[Strand]:[user_selected_coi_ncoi]]),FALSE), IF(AND(teacher_type="TB",career_stage="HP"),VLOOKUP($B125,TBHPI[],COLUMNS(TBHPI[[Strand]:[user_selected_coi_ncoi]]),FALSE),"")))),"")</f>
        <v>NCOI</v>
      </c>
      <c r="M125" s="99" t="b">
        <f>IF(AND(teacher_type="R",career_stage="P"),IF(AND(COUNTIFS(RPS[Strand],$B125,RPS[QET],M$11)&gt;0,$D125),TRUE,FALSE),IF(AND(teacher_type="R",career_stage="HP"),IF(AND(COUNTIFS(RHPS[Strand],$B125,RHPS[QET],M$11)&gt;0,$D125),TRUE,FALSE), IF(AND(teacher_type="TB",career_stage="P"),IF(AND(COUNTIFS(TBPS[Strand],$B125,TBPS[QET],M$11)&gt;0,$D125),TRUE,FALSE), IF(AND(teacher_type="TB",career_stage="HP"),IF(AND(COUNTIFS(TBHPS[Strand],$B125,TBHPS[QET],M$11)&gt;0,$D125),TRUE,FALSE),FALSE))))</f>
        <v>1</v>
      </c>
      <c r="N125" s="99" t="b">
        <f>IF(AND(teacher_type="R",career_stage="P"),IF(AND(COUNTIFS(RPS[Strand],$B125,RPS[QET],N$11)&gt;0,$D125),TRUE,FALSE),IF(AND(teacher_type="R",career_stage="HP"),IF(AND(COUNTIFS(RHPS[Strand],$B125,RHPS[QET],N$11)&gt;0,$D125),TRUE,FALSE), IF(AND(teacher_type="TB",career_stage="P"),IF(AND(COUNTIFS(TBPS[Strand],$B125,TBPS[QET],N$11)&gt;0,$D125),TRUE,FALSE), IF(AND(teacher_type="TB",career_stage="HP"),IF(AND(COUNTIFS(TBHPS[Strand],$B125,TBHPS[QET],N$11)&gt;0,$D125),TRUE,FALSE),FALSE))))</f>
        <v>1</v>
      </c>
      <c r="O125" s="99" t="b">
        <f>IF(AND(teacher_type="R",career_stage="P"),IF(AND(COUNTIFS(RPS[Strand],$B125,RPS[QET],O$11)&gt;0,$D125),TRUE,FALSE),IF(AND(teacher_type="R",career_stage="HP"),IF(AND(COUNTIFS(RHPS[Strand],$B125,RHPS[QET],O$11)&gt;0,$D125),TRUE,FALSE), IF(AND(teacher_type="TB",career_stage="P"),IF(AND(COUNTIFS(TBPS[Strand],$B125,TBPS[QET],O$11)&gt;0,$D125),TRUE,FALSE), IF(AND(teacher_type="TB",career_stage="HP"),IF(AND(COUNTIFS(TBHPS[Strand],$B125,TBHPS[QET],O$11)&gt;0,$D125),TRUE,FALSE),FALSE))))</f>
        <v>1</v>
      </c>
      <c r="P125" s="710"/>
      <c r="Q125" s="662"/>
      <c r="R125" s="663"/>
      <c r="S125" s="664"/>
      <c r="T125" s="678"/>
      <c r="U125" s="94" t="s">
        <v>1187</v>
      </c>
      <c r="V125" s="391" t="str">
        <f ca="1">IFERROR(IF($O125,IF(AND(career_stage="P",teacher_type="R"),INDEX(INDIRECT("RPS["&amp;V$10&amp;"]"),MATCH($H125,RPS[helper],0),1), IF(AND(career_stage="HP",teacher_type="R"), INDEX(INDIRECT("RHPS["&amp;V$10&amp;"]"),MATCH($H125,RHPS[helper],0),1), IF(AND(career_stage="P",teacher_type="TB"),INDEX(INDIRECT("TBPS["&amp;V$10&amp;"]"),MATCH($H125,TBPS[helper],0),1), IF(AND(career_stage="HP",teacher_type="TB"),INDEX(INDIRECT("TBHPS["&amp;V$10&amp;"]"),MATCH($H125,TBHPS[helper],0),1),"")))),""),"")</f>
        <v>Submitted MOVs were distributed across 4 quarters</v>
      </c>
      <c r="W125" s="391" t="str">
        <f ca="1">IFERROR(IF($O125,IF(AND(career_stage="P",teacher_type="R"),INDEX(INDIRECT("RPS["&amp;W$10&amp;"]"),MATCH($H125,RPS[helper],0),1), IF(AND(career_stage="HP",teacher_type="R"), INDEX(INDIRECT("RHPS["&amp;W$10&amp;"]"),MATCH($H125,RHPS[helper],0),1), IF(AND(career_stage="P",teacher_type="TB"),INDEX(INDIRECT("TBPS["&amp;W$10&amp;"]"),MATCH($H125,TBPS[helper],0),1), IF(AND(career_stage="HP",teacher_type="TB"),INDEX(INDIRECT("TBHPS["&amp;W$10&amp;"]"),MATCH($H125,TBHPS[helper],0),1),"")))),""),"")</f>
        <v>Submitted MOVs were distributed across 3 quarters</v>
      </c>
      <c r="X125" s="391" t="str">
        <f ca="1">IFERROR(IF($O125,IF(AND(career_stage="P",teacher_type="R"),INDEX(INDIRECT("RPS["&amp;X$10&amp;"]"),MATCH($H125,RPS[helper],0),1), IF(AND(career_stage="HP",teacher_type="R"), INDEX(INDIRECT("RHPS["&amp;X$10&amp;"]"),MATCH($H125,RHPS[helper],0),1), IF(AND(career_stage="P",teacher_type="TB"),INDEX(INDIRECT("TBPS["&amp;X$10&amp;"]"),MATCH($H125,TBPS[helper],0),1), IF(AND(career_stage="HP",teacher_type="TB"),INDEX(INDIRECT("TBHPS["&amp;X$10&amp;"]"),MATCH($H125,TBHPS[helper],0),1),"")))),""),"")</f>
        <v>Submitted MOVs were distributed across 2 quarters</v>
      </c>
      <c r="Y125" s="391" t="str">
        <f ca="1">IFERROR(IF($O125,IF(AND(career_stage="P",teacher_type="R"),INDEX(INDIRECT("RPS["&amp;Y$10&amp;"]"),MATCH($H125,RPS[helper],0),1), IF(AND(career_stage="HP",teacher_type="R"), INDEX(INDIRECT("RHPS["&amp;Y$10&amp;"]"),MATCH($H125,RHPS[helper],0),1), IF(AND(career_stage="P",teacher_type="TB"),INDEX(INDIRECT("TBPS["&amp;Y$10&amp;"]"),MATCH($H125,TBPS[helper],0),1), IF(AND(career_stage="HP",teacher_type="TB"),INDEX(INDIRECT("TBHPS["&amp;Y$10&amp;"]"),MATCH($H125,TBHPS[helper],0),1),"")))),""),"")</f>
        <v>Submitted MOV/s was/were completed in only 1 quarter</v>
      </c>
      <c r="Z125" s="391" t="str">
        <f ca="1">IFERROR(IF($O125,IF(AND(career_stage="P",teacher_type="R"),INDEX(INDIRECT("RPS["&amp;Z$10&amp;"]"),MATCH($H125,RPS[helper],0),1), IF(AND(career_stage="HP",teacher_type="R"), INDEX(INDIRECT("RHPS["&amp;Z$10&amp;"]"),MATCH($H125,RHPS[helper],0),1), IF(AND(career_stage="P",teacher_type="TB"),INDEX(INDIRECT("TBPS["&amp;Z$10&amp;"]"),MATCH($H125,TBPS[helper],0),1), IF(AND(career_stage="HP",teacher_type="TB"),INDEX(INDIRECT("TBHPS["&amp;Z$10&amp;"]"),MATCH($H125,TBHPS[helper],0),1),"")))),""),"")</f>
        <v>No acceptable evidence was shown</v>
      </c>
      <c r="AA125" s="391" t="str" cm="1">
        <f t="array" aca="1" ref="AA125" ca="1">IFERROR(INDEX(V125:Z125,6-AD123),"")</f>
        <v>Submitted MOVs were distributed across 3 quarters</v>
      </c>
      <c r="AB125" s="680"/>
      <c r="AC125" s="680"/>
      <c r="AD125" s="680"/>
      <c r="AE125" s="682"/>
      <c r="AF125" s="661"/>
      <c r="AG125" s="5"/>
    </row>
    <row r="126" spans="1:33" hidden="1" x14ac:dyDescent="0.25">
      <c r="A126" s="92">
        <v>39</v>
      </c>
      <c r="B126" s="99" cm="1">
        <f t="array" ref="B126">IFERROR(IF(AND(teacher_type="R",career_stage="P"),INDEX(RPI[Strand],$A126),IF(AND(teacher_type="R",career_stage="HP"),INDEX(RHPI[Strand],$A126), IF(AND(teacher_type="TB",career_stage="P"),INDEX(TBPI[Strand],$A126), IF(AND(teacher_type="TB",career_stage="HP"),INDEX(TBHPI[Strand],$A126),0)))),0)</f>
        <v>0</v>
      </c>
      <c r="C126" s="99" t="str">
        <f>IFERROR(IF(AND(teacher_type="R",career_stage="P"),VLOOKUP($B126,RPI[[Strand]:[Domain]],COLUMNS(RPI[[Strand]:[Domain]]),FALSE), IF(AND(teacher_type="R",career_stage="HP"),VLOOKUP($B126,RHPI[[Strand]:[Domain]],COLUMNS(RHPI[[Strand]:[Domain]]),FALSE), IF(AND(teacher_type="TB",career_stage="P"),VLOOKUP($B126,TBPI[[Strand]:[Domain]],COLUMNS(TBPI[[Strand]:[Domain]]),FALSE), IF(AND(teacher_type="TB",career_stage="HP"),VLOOKUP($B126,TBHPI[[Strand]:[Domain]],COLUMNS(TBHPI[[Strand]:[Domain]]),FALSE),"")))),"")</f>
        <v/>
      </c>
      <c r="D126" s="99" t="b">
        <f>IFERROR(IF(AND(career_stage="P",teacher_type="R"),VLOOKUP(B126,RPI[],COLUMNS(RPI[[Strand]:[Selected]]),FALSE), IF(AND(career_stage="HP",teacher_type="R"),VLOOKUP(B126,RHPI[],COLUMNS(RHPI[[Strand]:[Selected]]),FALSE), IF(AND(career_stage="P",teacher_type="TB"),VLOOKUP(B126,TBPI[],COLUMNS(TBPI[[Strand]:[Selected]]),FALSE), IF(AND(career_stage="HP",teacher_type="TB"),VLOOKUP(B126,TBHPI[],COLUMNS(TBHPI[[Strand]:[Selected]]),FALSE),FALSE)))),FALSE)</f>
        <v>0</v>
      </c>
      <c r="E126" s="92" t="b">
        <f>COUNTIFS($C$12:$C126,C126,$D$12:$D126,TRUE)=1</f>
        <v>0</v>
      </c>
      <c r="F126" s="92" t="b">
        <f>COUNTIFS($C$12:$C126,$C126,$B$12:$B126,$B126,$D$12:$D126,TRUE)=1</f>
        <v>0</v>
      </c>
      <c r="G126" s="99">
        <f>IF($F126,COUNTIFS($C$12:$C126,C126,$F$12:$F126,TRUE),0)</f>
        <v>0</v>
      </c>
      <c r="H126" s="99" t="str">
        <f t="shared" si="43"/>
        <v>0-Q</v>
      </c>
      <c r="I126" s="99">
        <f>IF(AND(D126,NOT($A126=$A125)),(COUNTIF($D$11:$D125,TRUE)/3)+1,0)</f>
        <v>0</v>
      </c>
      <c r="J126" s="99" t="s">
        <v>1012</v>
      </c>
      <c r="K126" s="99" t="b">
        <f>IF(AND(teacher_type="R",career_stage="P"),IF(AND(COUNTIFS(RPS[Strand],$B126,RPS[QET],$J126)&gt;0,$D126),TRUE,FALSE), IF(AND(teacher_type="R",career_stage="HP"),IF(AND(COUNTIFS(RHPS[Strand],$B126,RHPS[QET],$J126)&gt;0,$D126),TRUE,FALSE), IF(AND(teacher_type="TB",career_stage="P"),IF(AND(COUNTIFS(TBPS[Strand],$B126,TBPS[QET],$J126)&gt;0,$D126),TRUE,FALSE), IF(AND(teacher_type="TB",career_stage="HP"),IF(AND(COUNTIFS(TBHPS[Strand],$B126,TBHPS[QET],$J126)&gt;0,$D126),TRUE,FALSE),FALSE))))</f>
        <v>0</v>
      </c>
      <c r="L126" s="99" t="str">
        <f>IF($K126,IF(AND(teacher_type="R",career_stage="P"),VLOOKUP($B126,RPI[],COLUMNS(RPI[[Strand]:[user_selected_coi_ncoi]]),FALSE), IF(AND(teacher_type="R",career_stage="HP"),VLOOKUP($B126,RHPI[],COLUMNS(RHPI[[Strand]:[user_selected_coi_ncoi]]),FALSE), IF(AND(teacher_type="TB",career_stage="P"),VLOOKUP($B126,TBPI[],COLUMNS(TBPI[[Strand]:[user_selected_coi_ncoi]]),FALSE), IF(AND(teacher_type="TB",career_stage="HP"),VLOOKUP($B126,TBHPI[],COLUMNS(TBHPI[[Strand]:[user_selected_coi_ncoi]]),FALSE),"")))),"")</f>
        <v/>
      </c>
      <c r="M126" s="99" t="b">
        <f>IF(AND(teacher_type="R",career_stage="P"),IF(AND(COUNTIFS(RPS[Strand],$B126,RPS[QET],M$11)&gt;0,$D126),TRUE,FALSE),IF(AND(teacher_type="R",career_stage="HP"),IF(AND(COUNTIFS(RHPS[Strand],$B126,RHPS[QET],M$11)&gt;0,$D126),TRUE,FALSE), IF(AND(teacher_type="TB",career_stage="P"),IF(AND(COUNTIFS(TBPS[Strand],$B126,TBPS[QET],M$11)&gt;0,$D126),TRUE,FALSE), IF(AND(teacher_type="TB",career_stage="HP"),IF(AND(COUNTIFS(TBHPS[Strand],$B126,TBHPS[QET],M$11)&gt;0,$D126),TRUE,FALSE),FALSE))))</f>
        <v>0</v>
      </c>
      <c r="N126" s="99" t="b">
        <f>IF(AND(teacher_type="R",career_stage="P"),IF(AND(COUNTIFS(RPS[Strand],$B126,RPS[QET],N$11)&gt;0,$D126),TRUE,FALSE),IF(AND(teacher_type="R",career_stage="HP"),IF(AND(COUNTIFS(RHPS[Strand],$B126,RHPS[QET],N$11)&gt;0,$D126),TRUE,FALSE), IF(AND(teacher_type="TB",career_stage="P"),IF(AND(COUNTIFS(TBPS[Strand],$B126,TBPS[QET],N$11)&gt;0,$D126),TRUE,FALSE), IF(AND(teacher_type="TB",career_stage="HP"),IF(AND(COUNTIFS(TBHPS[Strand],$B126,TBHPS[QET],N$11)&gt;0,$D126),TRUE,FALSE),FALSE))))</f>
        <v>0</v>
      </c>
      <c r="O126" s="99" t="b">
        <f>IF(AND(teacher_type="R",career_stage="P"),IF(AND(COUNTIFS(RPS[Strand],$B126,RPS[QET],O$11)&gt;0,$D126),TRUE,FALSE),IF(AND(teacher_type="R",career_stage="HP"),IF(AND(COUNTIFS(RHPS[Strand],$B126,RHPS[QET],O$11)&gt;0,$D126),TRUE,FALSE), IF(AND(teacher_type="TB",career_stage="P"),IF(AND(COUNTIFS(TBPS[Strand],$B126,TBPS[QET],O$11)&gt;0,$D126),TRUE,FALSE), IF(AND(teacher_type="TB",career_stage="HP"),IF(AND(COUNTIFS(TBHPS[Strand],$B126,TBHPS[QET],O$11)&gt;0,$D126),TRUE,FALSE),FALSE))))</f>
        <v>0</v>
      </c>
      <c r="P126" s="710"/>
      <c r="Q126" s="662" t="str">
        <f>IFERROR(IF(E126,IF(C126="Plus Factor","Plus Factor",C126 &amp; ". " &amp; INDEX(Domains[Domain],MATCH(C126,Domains[Domain_code],0),1)),""),"")</f>
        <v/>
      </c>
      <c r="R126" s="663" t="str">
        <f>IFERROR(IF($F126,$I126 &amp; ". " &amp; IF(AND(career_stage="P",teacher_type="R"), INDEX(RPI[PPST Indicators],MATCH($B126,RPI[Strand],0),1), IF(AND(career_stage="HP",teacher_type="R"),INDEX(RHPI[PPST Indicators],MATCH($B126,RHPI[Strand],0),1), IF(AND(career_stage="P",teacher_type="TB"),INDEX(TBPI[PPST Indicators],MATCH($B126,TBPI[Strand],0),1), IF(AND(career_stage="HP",teacher_type="TB"),INDEX(TBHPI[PPST Indicators],MATCH($B126,TBHPI[Strand],0),1),"")))) &amp; IF(NOT(TRIM(LOWER($C126))="plus factor")," (PPST "&amp;B126&amp;")",""),""),"")</f>
        <v/>
      </c>
      <c r="S126" s="664" t="str" cm="1">
        <f t="array" ref="S126">demographics[rating_period]</f>
        <v>SY 2023-2024</v>
      </c>
      <c r="T126" s="678">
        <f>IFERROR(IF(AND(career_stage="P",teacher_type="R"),VLOOKUP(B126,RPI[],COLUMNS(RPI[[Strand]:[Weight]]),FALSE), IF(AND(career_stage="HP",teacher_type="R"),VLOOKUP(B126,RHPI[],COLUMNS(RHPI[[Strand]:[Weight]]),FALSE), IF(AND(career_stage="P",teacher_type="TB"),VLOOKUP(B126,TBPI[],COLUMNS(TBPI[[Strand]:[Weight]]),FALSE), IF(AND(career_stage="HP",teacher_type="TB"),VLOOKUP(B126,TBHPI[],COLUMNS(TBHPI[[Strand]:[Weight]]),FALSE),0)))),0)</f>
        <v>0</v>
      </c>
      <c r="U126" s="94" t="s">
        <v>1185</v>
      </c>
      <c r="V126" s="391" t="str">
        <f ca="1">IFERROR(IF($M126,IF(AND(career_stage="P",teacher_type="R"),INDEX(INDIRECT("RPS["&amp;V$10&amp;"]"),MATCH($H126,RPS[helper],0),1), IF(AND(career_stage="HP",teacher_type="R"), INDEX(INDIRECT("RHPS["&amp;V$10&amp;"]"),MATCH($H126,RHPS[helper],0),1), IF(AND(career_stage="P",teacher_type="TB"),INDEX(INDIRECT("TBPS["&amp;V$10&amp;"]"),MATCH($H126,TBPS[helper],0),1), IF(AND(career_stage="HP",teacher_type="TB"),INDEX(INDIRECT("TBHPS["&amp;V$10&amp;"]"),MATCH($H126,TBHPS[helper],0),1),"")))),""),"")</f>
        <v/>
      </c>
      <c r="W126" s="391" t="str">
        <f ca="1">IFERROR(IF($M126,IF(AND(career_stage="P",teacher_type="R"),INDEX(INDIRECT("RPS["&amp;W$10&amp;"]"),MATCH($H126,RPS[helper],0),1), IF(AND(career_stage="HP",teacher_type="R"), INDEX(INDIRECT("RHPS["&amp;W$10&amp;"]"),MATCH($H126,RHPS[helper],0),1), IF(AND(career_stage="P",teacher_type="TB"),INDEX(INDIRECT("TBPS["&amp;W$10&amp;"]"),MATCH($H126,TBPS[helper],0),1), IF(AND(career_stage="HP",teacher_type="TB"),INDEX(INDIRECT("TBHPS["&amp;W$10&amp;"]"),MATCH($H126,TBHPS[helper],0),1),"")))),""),"")</f>
        <v/>
      </c>
      <c r="X126" s="391" t="str">
        <f ca="1">IFERROR(IF($M126,IF(AND(career_stage="P",teacher_type="R"),INDEX(INDIRECT("RPS["&amp;X$10&amp;"]"),MATCH($H126,RPS[helper],0),1), IF(AND(career_stage="HP",teacher_type="R"), INDEX(INDIRECT("RHPS["&amp;X$10&amp;"]"),MATCH($H126,RHPS[helper],0),1), IF(AND(career_stage="P",teacher_type="TB"),INDEX(INDIRECT("TBPS["&amp;X$10&amp;"]"),MATCH($H126,TBPS[helper],0),1), IF(AND(career_stage="HP",teacher_type="TB"),INDEX(INDIRECT("TBHPS["&amp;X$10&amp;"]"),MATCH($H126,TBHPS[helper],0),1),"")))),""),"")</f>
        <v/>
      </c>
      <c r="Y126" s="391" t="str">
        <f ca="1">IFERROR(IF($M126,IF(AND(career_stage="P",teacher_type="R"),INDEX(INDIRECT("RPS["&amp;Y$10&amp;"]"),MATCH($H126,RPS[helper],0),1), IF(AND(career_stage="HP",teacher_type="R"), INDEX(INDIRECT("RHPS["&amp;Y$10&amp;"]"),MATCH($H126,RHPS[helper],0),1), IF(AND(career_stage="P",teacher_type="TB"),INDEX(INDIRECT("TBPS["&amp;Y$10&amp;"]"),MATCH($H126,TBPS[helper],0),1), IF(AND(career_stage="HP",teacher_type="TB"),INDEX(INDIRECT("TBHPS["&amp;Y$10&amp;"]"),MATCH($H126,TBHPS[helper],0),1),"")))),""),"")</f>
        <v/>
      </c>
      <c r="Z126" s="391" t="str">
        <f ca="1">IFERROR(IF($M126,IF(AND(career_stage="P",teacher_type="R"),INDEX(INDIRECT("RPS["&amp;Z$10&amp;"]"),MATCH($H126,RPS[helper],0),1), IF(AND(career_stage="HP",teacher_type="R"), INDEX(INDIRECT("RHPS["&amp;Z$10&amp;"]"),MATCH($H126,RHPS[helper],0),1), IF(AND(career_stage="P",teacher_type="TB"),INDEX(INDIRECT("TBPS["&amp;Z$10&amp;"]"),MATCH($H126,TBPS[helper],0),1), IF(AND(career_stage="HP",teacher_type="TB"),INDEX(INDIRECT("TBHPS["&amp;Z$10&amp;"]"),MATCH($H126,TBHPS[helper],0),1),"")))),""),"")</f>
        <v/>
      </c>
      <c r="AA126" s="392" t="str" cm="1">
        <f t="array" ref="AA126">IFERROR(INDEX(V126:Z126,6-AB126),"")</f>
        <v/>
      </c>
      <c r="AB126" s="680" t="str">
        <f>IF('Encoding Part 1'!AB60="","",'Encoding Part 1'!AB60)</f>
        <v/>
      </c>
      <c r="AC126" s="680" t="str">
        <f>IF('Encoding Part 1'!AC60="","",'Encoding Part 1'!AC60)</f>
        <v/>
      </c>
      <c r="AD126" s="680" t="str">
        <f>IF('Encoding Part 1'!AD60="","",'Encoding Part 1'!AD60)</f>
        <v/>
      </c>
      <c r="AE126" s="682">
        <f t="shared" ref="AE126" si="76">IFERROR(ROUNDDOWN(AVERAGE($AB126:$AD126),3),0)</f>
        <v>0</v>
      </c>
      <c r="AF126" s="661">
        <f t="shared" ref="AF126" si="77">ROUNDDOWN($AE126*$T126,3)</f>
        <v>0</v>
      </c>
      <c r="AG126" s="5"/>
    </row>
    <row r="127" spans="1:33" hidden="1" x14ac:dyDescent="0.25">
      <c r="A127" s="92">
        <v>39</v>
      </c>
      <c r="B127" s="99" cm="1">
        <f t="array" ref="B127">IFERROR(IF(AND(teacher_type="R",career_stage="P"),INDEX(RPI[Strand],$A127),IF(AND(teacher_type="R",career_stage="HP"),INDEX(RHPI[Strand],$A127), IF(AND(teacher_type="TB",career_stage="P"),INDEX(TBPI[Strand],$A127), IF(AND(teacher_type="TB",career_stage="HP"),INDEX(TBHPI[Strand],$A127),0)))),0)</f>
        <v>0</v>
      </c>
      <c r="C127" s="99" t="str">
        <f>IFERROR(IF(AND(teacher_type="R",career_stage="P"),VLOOKUP($B127,RPI[[Strand]:[Domain]],COLUMNS(RPI[[Strand]:[Domain]]),FALSE), IF(AND(teacher_type="R",career_stage="HP"),VLOOKUP($B127,RHPI[[Strand]:[Domain]],COLUMNS(RHPI[[Strand]:[Domain]]),FALSE), IF(AND(teacher_type="TB",career_stage="P"),VLOOKUP($B127,TBPI[[Strand]:[Domain]],COLUMNS(TBPI[[Strand]:[Domain]]),FALSE), IF(AND(teacher_type="TB",career_stage="HP"),VLOOKUP($B127,TBHPI[[Strand]:[Domain]],COLUMNS(TBHPI[[Strand]:[Domain]]),FALSE),"")))),"")</f>
        <v/>
      </c>
      <c r="D127" s="99" t="b">
        <f>IFERROR(IF(AND(career_stage="P",teacher_type="R"),VLOOKUP(B127,RPI[],COLUMNS(RPI[[Strand]:[Selected]]),FALSE), IF(AND(career_stage="HP",teacher_type="R"),VLOOKUP(B127,RHPI[],COLUMNS(RHPI[[Strand]:[Selected]]),FALSE), IF(AND(career_stage="P",teacher_type="TB"),VLOOKUP(B127,TBPI[],COLUMNS(TBPI[[Strand]:[Selected]]),FALSE), IF(AND(career_stage="HP",teacher_type="TB"),VLOOKUP(B127,TBHPI[],COLUMNS(TBHPI[[Strand]:[Selected]]),FALSE),FALSE)))),FALSE)</f>
        <v>0</v>
      </c>
      <c r="E127" s="92" t="b">
        <f>COUNTIFS($C$12:$C127,C127,$D$12:$D127,TRUE)=1</f>
        <v>0</v>
      </c>
      <c r="F127" s="92" t="b">
        <f>COUNTIFS($C$12:$C127,$C127,$B$12:$B127,$B127,$D$12:$D127,TRUE)=1</f>
        <v>0</v>
      </c>
      <c r="G127" s="99">
        <f>IF($F127,COUNTIFS($C$12:$C127,C127,$F$12:$F127,TRUE),0)</f>
        <v>0</v>
      </c>
      <c r="H127" s="99" t="str">
        <f t="shared" si="43"/>
        <v>0-E</v>
      </c>
      <c r="I127" s="99">
        <f>IF(AND(D127,NOT($A127=$A126)),(COUNTIF($D$11:$D126,TRUE)/3)+1,0)</f>
        <v>0</v>
      </c>
      <c r="J127" s="99" t="s">
        <v>1073</v>
      </c>
      <c r="K127" s="99" t="b">
        <f>IF(AND(teacher_type="R",career_stage="P"),IF(AND(COUNTIFS(RPS[Strand],$B127,RPS[QET],$J127)&gt;0,$D127),TRUE,FALSE), IF(AND(teacher_type="R",career_stage="HP"),IF(AND(COUNTIFS(RHPS[Strand],$B127,RHPS[QET],$J127)&gt;0,$D127),TRUE,FALSE), IF(AND(teacher_type="TB",career_stage="P"),IF(AND(COUNTIFS(TBPS[Strand],$B127,TBPS[QET],$J127)&gt;0,$D127),TRUE,FALSE), IF(AND(teacher_type="TB",career_stage="HP"),IF(AND(COUNTIFS(TBHPS[Strand],$B127,TBHPS[QET],$J127)&gt;0,$D127),TRUE,FALSE),FALSE))))</f>
        <v>0</v>
      </c>
      <c r="L127" s="99" t="str">
        <f>IF($K127,IF(AND(teacher_type="R",career_stage="P"),VLOOKUP($B127,RPI[],COLUMNS(RPI[[Strand]:[user_selected_coi_ncoi]]),FALSE), IF(AND(teacher_type="R",career_stage="HP"),VLOOKUP($B127,RHPI[],COLUMNS(RHPI[[Strand]:[user_selected_coi_ncoi]]),FALSE), IF(AND(teacher_type="TB",career_stage="P"),VLOOKUP($B127,TBPI[],COLUMNS(TBPI[[Strand]:[user_selected_coi_ncoi]]),FALSE), IF(AND(teacher_type="TB",career_stage="HP"),VLOOKUP($B127,TBHPI[],COLUMNS(TBHPI[[Strand]:[user_selected_coi_ncoi]]),FALSE),"")))),"")</f>
        <v/>
      </c>
      <c r="M127" s="99" t="b">
        <f>IF(AND(teacher_type="R",career_stage="P"),IF(AND(COUNTIFS(RPS[Strand],$B127,RPS[QET],M$11)&gt;0,$D127),TRUE,FALSE),IF(AND(teacher_type="R",career_stage="HP"),IF(AND(COUNTIFS(RHPS[Strand],$B127,RHPS[QET],M$11)&gt;0,$D127),TRUE,FALSE), IF(AND(teacher_type="TB",career_stage="P"),IF(AND(COUNTIFS(TBPS[Strand],$B127,TBPS[QET],M$11)&gt;0,$D127),TRUE,FALSE), IF(AND(teacher_type="TB",career_stage="HP"),IF(AND(COUNTIFS(TBHPS[Strand],$B127,TBHPS[QET],M$11)&gt;0,$D127),TRUE,FALSE),FALSE))))</f>
        <v>0</v>
      </c>
      <c r="N127" s="99" t="b">
        <f>IF(AND(teacher_type="R",career_stage="P"),IF(AND(COUNTIFS(RPS[Strand],$B127,RPS[QET],N$11)&gt;0,$D127),TRUE,FALSE),IF(AND(teacher_type="R",career_stage="HP"),IF(AND(COUNTIFS(RHPS[Strand],$B127,RHPS[QET],N$11)&gt;0,$D127),TRUE,FALSE), IF(AND(teacher_type="TB",career_stage="P"),IF(AND(COUNTIFS(TBPS[Strand],$B127,TBPS[QET],N$11)&gt;0,$D127),TRUE,FALSE), IF(AND(teacher_type="TB",career_stage="HP"),IF(AND(COUNTIFS(TBHPS[Strand],$B127,TBHPS[QET],N$11)&gt;0,$D127),TRUE,FALSE),FALSE))))</f>
        <v>0</v>
      </c>
      <c r="O127" s="99" t="b">
        <f>IF(AND(teacher_type="R",career_stage="P"),IF(AND(COUNTIFS(RPS[Strand],$B127,RPS[QET],O$11)&gt;0,$D127),TRUE,FALSE),IF(AND(teacher_type="R",career_stage="HP"),IF(AND(COUNTIFS(RHPS[Strand],$B127,RHPS[QET],O$11)&gt;0,$D127),TRUE,FALSE), IF(AND(teacher_type="TB",career_stage="P"),IF(AND(COUNTIFS(TBPS[Strand],$B127,TBPS[QET],O$11)&gt;0,$D127),TRUE,FALSE), IF(AND(teacher_type="TB",career_stage="HP"),IF(AND(COUNTIFS(TBHPS[Strand],$B127,TBHPS[QET],O$11)&gt;0,$D127),TRUE,FALSE),FALSE))))</f>
        <v>0</v>
      </c>
      <c r="P127" s="710"/>
      <c r="Q127" s="662"/>
      <c r="R127" s="663"/>
      <c r="S127" s="664"/>
      <c r="T127" s="678"/>
      <c r="U127" s="94" t="s">
        <v>1186</v>
      </c>
      <c r="V127" s="391" t="str">
        <f ca="1">IFERROR(IF($N127,IF(AND(career_stage="P",teacher_type="R"),INDEX(INDIRECT("RPS["&amp;V$10&amp;"]"),MATCH($H127,RPS[helper],0),1), IF(AND(career_stage="HP",teacher_type="R"), INDEX(INDIRECT("RHPS["&amp;V$10&amp;"]"),MATCH($H127,RHPS[helper],0),1), IF(AND(career_stage="P",teacher_type="TB"),INDEX(INDIRECT("TBPS["&amp;V$10&amp;"]"),MATCH($H127,TBPS[helper],0),1), IF(AND(career_stage="HP",teacher_type="TB"),INDEX(INDIRECT("TBHPS["&amp;V$10&amp;"]"),MATCH($H127,TBHPS[helper],0),1),"")))),""),"")</f>
        <v/>
      </c>
      <c r="W127" s="391" t="str">
        <f ca="1">IFERROR(IF($N127,IF(AND(career_stage="P",teacher_type="R"),INDEX(INDIRECT("RPS["&amp;W$10&amp;"]"),MATCH($H127,RPS[helper],0),1), IF(AND(career_stage="HP",teacher_type="R"), INDEX(INDIRECT("RHPS["&amp;W$10&amp;"]"),MATCH($H127,RHPS[helper],0),1), IF(AND(career_stage="P",teacher_type="TB"),INDEX(INDIRECT("TBPS["&amp;W$10&amp;"]"),MATCH($H127,TBPS[helper],0),1), IF(AND(career_stage="HP",teacher_type="TB"),INDEX(INDIRECT("TBHPS["&amp;W$10&amp;"]"),MATCH($H127,TBHPS[helper],0),1),"")))),""),"")</f>
        <v/>
      </c>
      <c r="X127" s="391" t="str">
        <f ca="1">IFERROR(IF($N127,IF(AND(career_stage="P",teacher_type="R"),INDEX(INDIRECT("RPS["&amp;X$10&amp;"]"),MATCH($H127,RPS[helper],0),1), IF(AND(career_stage="HP",teacher_type="R"), INDEX(INDIRECT("RHPS["&amp;X$10&amp;"]"),MATCH($H127,RHPS[helper],0),1), IF(AND(career_stage="P",teacher_type="TB"),INDEX(INDIRECT("TBPS["&amp;X$10&amp;"]"),MATCH($H127,TBPS[helper],0),1), IF(AND(career_stage="HP",teacher_type="TB"),INDEX(INDIRECT("TBHPS["&amp;X$10&amp;"]"),MATCH($H127,TBHPS[helper],0),1),"")))),""),"")</f>
        <v/>
      </c>
      <c r="Y127" s="391" t="str">
        <f ca="1">IFERROR(IF($N127,IF(AND(career_stage="P",teacher_type="R"),INDEX(INDIRECT("RPS["&amp;Y$10&amp;"]"),MATCH($H127,RPS[helper],0),1), IF(AND(career_stage="HP",teacher_type="R"), INDEX(INDIRECT("RHPS["&amp;Y$10&amp;"]"),MATCH($H127,RHPS[helper],0),1), IF(AND(career_stage="P",teacher_type="TB"),INDEX(INDIRECT("TBPS["&amp;Y$10&amp;"]"),MATCH($H127,TBPS[helper],0),1), IF(AND(career_stage="HP",teacher_type="TB"),INDEX(INDIRECT("TBHPS["&amp;Y$10&amp;"]"),MATCH($H127,TBHPS[helper],0),1),"")))),""),"")</f>
        <v/>
      </c>
      <c r="Z127" s="391" t="str">
        <f ca="1">IFERROR(IF($N127,IF(AND(career_stage="P",teacher_type="R"),INDEX(INDIRECT("RPS["&amp;Z$10&amp;"]"),MATCH($H127,RPS[helper],0),1), IF(AND(career_stage="HP",teacher_type="R"), INDEX(INDIRECT("RHPS["&amp;Z$10&amp;"]"),MATCH($H127,RHPS[helper],0),1), IF(AND(career_stage="P",teacher_type="TB"),INDEX(INDIRECT("TBPS["&amp;Z$10&amp;"]"),MATCH($H127,TBPS[helper],0),1), IF(AND(career_stage="HP",teacher_type="TB"),INDEX(INDIRECT("TBHPS["&amp;Z$10&amp;"]"),MATCH($H127,TBHPS[helper],0),1),"")))),""),"")</f>
        <v/>
      </c>
      <c r="AA127" s="392" t="str" cm="1">
        <f t="array" ref="AA127">IFERROR(INDEX(V127:Z127,6-AC126),"")</f>
        <v/>
      </c>
      <c r="AB127" s="680"/>
      <c r="AC127" s="680"/>
      <c r="AD127" s="680"/>
      <c r="AE127" s="682"/>
      <c r="AF127" s="661"/>
      <c r="AG127" s="5"/>
    </row>
    <row r="128" spans="1:33" hidden="1" x14ac:dyDescent="0.25">
      <c r="A128" s="92">
        <v>39</v>
      </c>
      <c r="B128" s="99" cm="1">
        <f t="array" ref="B128">IFERROR(IF(AND(teacher_type="R",career_stage="P"),INDEX(RPI[Strand],$A128),IF(AND(teacher_type="R",career_stage="HP"),INDEX(RHPI[Strand],$A128), IF(AND(teacher_type="TB",career_stage="P"),INDEX(TBPI[Strand],$A128), IF(AND(teacher_type="TB",career_stage="HP"),INDEX(TBHPI[Strand],$A128),0)))),0)</f>
        <v>0</v>
      </c>
      <c r="C128" s="99" t="str">
        <f>IFERROR(IF(AND(teacher_type="R",career_stage="P"),VLOOKUP($B128,RPI[[Strand]:[Domain]],COLUMNS(RPI[[Strand]:[Domain]]),FALSE), IF(AND(teacher_type="R",career_stage="HP"),VLOOKUP($B128,RHPI[[Strand]:[Domain]],COLUMNS(RHPI[[Strand]:[Domain]]),FALSE), IF(AND(teacher_type="TB",career_stage="P"),VLOOKUP($B128,TBPI[[Strand]:[Domain]],COLUMNS(TBPI[[Strand]:[Domain]]),FALSE), IF(AND(teacher_type="TB",career_stage="HP"),VLOOKUP($B128,TBHPI[[Strand]:[Domain]],COLUMNS(TBHPI[[Strand]:[Domain]]),FALSE),"")))),"")</f>
        <v/>
      </c>
      <c r="D128" s="99" t="b">
        <f>IFERROR(IF(AND(career_stage="P",teacher_type="R"),VLOOKUP(B128,RPI[],COLUMNS(RPI[[Strand]:[Selected]]),FALSE), IF(AND(career_stage="HP",teacher_type="R"),VLOOKUP(B128,RHPI[],COLUMNS(RHPI[[Strand]:[Selected]]),FALSE), IF(AND(career_stage="P",teacher_type="TB"),VLOOKUP(B128,TBPI[],COLUMNS(TBPI[[Strand]:[Selected]]),FALSE), IF(AND(career_stage="HP",teacher_type="TB"),VLOOKUP(B128,TBHPI[],COLUMNS(TBHPI[[Strand]:[Selected]]),FALSE),FALSE)))),FALSE)</f>
        <v>0</v>
      </c>
      <c r="E128" s="92" t="b">
        <f>COUNTIFS($C$12:$C128,C128,$D$12:$D128,TRUE)=1</f>
        <v>0</v>
      </c>
      <c r="F128" s="92" t="b">
        <f>COUNTIFS($C$12:$C128,$C128,$B$12:$B128,$B128,$D$12:$D128,TRUE)=1</f>
        <v>0</v>
      </c>
      <c r="G128" s="99">
        <f>IF($F128,COUNTIFS($C$12:$C128,C128,$F$12:$F128,TRUE),0)</f>
        <v>0</v>
      </c>
      <c r="H128" s="99" t="str">
        <f t="shared" si="43"/>
        <v>0-T</v>
      </c>
      <c r="I128" s="99">
        <f>IF(AND(D128,NOT($A128=$A127)),(COUNTIF($D$11:$D127,TRUE)/3)+1,0)</f>
        <v>0</v>
      </c>
      <c r="J128" s="99" t="s">
        <v>1014</v>
      </c>
      <c r="K128" s="99" t="b">
        <f>IF(AND(teacher_type="R",career_stage="P"),IF(AND(COUNTIFS(RPS[Strand],$B128,RPS[QET],$J128)&gt;0,$D128),TRUE,FALSE), IF(AND(teacher_type="R",career_stage="HP"),IF(AND(COUNTIFS(RHPS[Strand],$B128,RHPS[QET],$J128)&gt;0,$D128),TRUE,FALSE), IF(AND(teacher_type="TB",career_stage="P"),IF(AND(COUNTIFS(TBPS[Strand],$B128,TBPS[QET],$J128)&gt;0,$D128),TRUE,FALSE), IF(AND(teacher_type="TB",career_stage="HP"),IF(AND(COUNTIFS(TBHPS[Strand],$B128,TBHPS[QET],$J128)&gt;0,$D128),TRUE,FALSE),FALSE))))</f>
        <v>0</v>
      </c>
      <c r="L128" s="99" t="str">
        <f>IF($K128,IF(AND(teacher_type="R",career_stage="P"),VLOOKUP($B128,RPI[],COLUMNS(RPI[[Strand]:[user_selected_coi_ncoi]]),FALSE), IF(AND(teacher_type="R",career_stage="HP"),VLOOKUP($B128,RHPI[],COLUMNS(RHPI[[Strand]:[user_selected_coi_ncoi]]),FALSE), IF(AND(teacher_type="TB",career_stage="P"),VLOOKUP($B128,TBPI[],COLUMNS(TBPI[[Strand]:[user_selected_coi_ncoi]]),FALSE), IF(AND(teacher_type="TB",career_stage="HP"),VLOOKUP($B128,TBHPI[],COLUMNS(TBHPI[[Strand]:[user_selected_coi_ncoi]]),FALSE),"")))),"")</f>
        <v/>
      </c>
      <c r="M128" s="99" t="b">
        <f>IF(AND(teacher_type="R",career_stage="P"),IF(AND(COUNTIFS(RPS[Strand],$B128,RPS[QET],M$11)&gt;0,$D128),TRUE,FALSE),IF(AND(teacher_type="R",career_stage="HP"),IF(AND(COUNTIFS(RHPS[Strand],$B128,RHPS[QET],M$11)&gt;0,$D128),TRUE,FALSE), IF(AND(teacher_type="TB",career_stage="P"),IF(AND(COUNTIFS(TBPS[Strand],$B128,TBPS[QET],M$11)&gt;0,$D128),TRUE,FALSE), IF(AND(teacher_type="TB",career_stage="HP"),IF(AND(COUNTIFS(TBHPS[Strand],$B128,TBHPS[QET],M$11)&gt;0,$D128),TRUE,FALSE),FALSE))))</f>
        <v>0</v>
      </c>
      <c r="N128" s="99" t="b">
        <f>IF(AND(teacher_type="R",career_stage="P"),IF(AND(COUNTIFS(RPS[Strand],$B128,RPS[QET],N$11)&gt;0,$D128),TRUE,FALSE),IF(AND(teacher_type="R",career_stage="HP"),IF(AND(COUNTIFS(RHPS[Strand],$B128,RHPS[QET],N$11)&gt;0,$D128),TRUE,FALSE), IF(AND(teacher_type="TB",career_stage="P"),IF(AND(COUNTIFS(TBPS[Strand],$B128,TBPS[QET],N$11)&gt;0,$D128),TRUE,FALSE), IF(AND(teacher_type="TB",career_stage="HP"),IF(AND(COUNTIFS(TBHPS[Strand],$B128,TBHPS[QET],N$11)&gt;0,$D128),TRUE,FALSE),FALSE))))</f>
        <v>0</v>
      </c>
      <c r="O128" s="99" t="b">
        <f>IF(AND(teacher_type="R",career_stage="P"),IF(AND(COUNTIFS(RPS[Strand],$B128,RPS[QET],O$11)&gt;0,$D128),TRUE,FALSE),IF(AND(teacher_type="R",career_stage="HP"),IF(AND(COUNTIFS(RHPS[Strand],$B128,RHPS[QET],O$11)&gt;0,$D128),TRUE,FALSE), IF(AND(teacher_type="TB",career_stage="P"),IF(AND(COUNTIFS(TBPS[Strand],$B128,TBPS[QET],O$11)&gt;0,$D128),TRUE,FALSE), IF(AND(teacher_type="TB",career_stage="HP"),IF(AND(COUNTIFS(TBHPS[Strand],$B128,TBHPS[QET],O$11)&gt;0,$D128),TRUE,FALSE),FALSE))))</f>
        <v>0</v>
      </c>
      <c r="P128" s="710"/>
      <c r="Q128" s="662"/>
      <c r="R128" s="663"/>
      <c r="S128" s="664"/>
      <c r="T128" s="678"/>
      <c r="U128" s="94" t="s">
        <v>1187</v>
      </c>
      <c r="V128" s="391" t="str">
        <f ca="1">IFERROR(IF($O128,IF(AND(career_stage="P",teacher_type="R"),INDEX(INDIRECT("RPS["&amp;V$10&amp;"]"),MATCH($H128,RPS[helper],0),1), IF(AND(career_stage="HP",teacher_type="R"), INDEX(INDIRECT("RHPS["&amp;V$10&amp;"]"),MATCH($H128,RHPS[helper],0),1), IF(AND(career_stage="P",teacher_type="TB"),INDEX(INDIRECT("TBPS["&amp;V$10&amp;"]"),MATCH($H128,TBPS[helper],0),1), IF(AND(career_stage="HP",teacher_type="TB"),INDEX(INDIRECT("TBHPS["&amp;V$10&amp;"]"),MATCH($H128,TBHPS[helper],0),1),"")))),""),"")</f>
        <v/>
      </c>
      <c r="W128" s="391" t="str">
        <f ca="1">IFERROR(IF($O128,IF(AND(career_stage="P",teacher_type="R"),INDEX(INDIRECT("RPS["&amp;W$10&amp;"]"),MATCH($H128,RPS[helper],0),1), IF(AND(career_stage="HP",teacher_type="R"), INDEX(INDIRECT("RHPS["&amp;W$10&amp;"]"),MATCH($H128,RHPS[helper],0),1), IF(AND(career_stage="P",teacher_type="TB"),INDEX(INDIRECT("TBPS["&amp;W$10&amp;"]"),MATCH($H128,TBPS[helper],0),1), IF(AND(career_stage="HP",teacher_type="TB"),INDEX(INDIRECT("TBHPS["&amp;W$10&amp;"]"),MATCH($H128,TBHPS[helper],0),1),"")))),""),"")</f>
        <v/>
      </c>
      <c r="X128" s="391" t="str">
        <f ca="1">IFERROR(IF($O128,IF(AND(career_stage="P",teacher_type="R"),INDEX(INDIRECT("RPS["&amp;X$10&amp;"]"),MATCH($H128,RPS[helper],0),1), IF(AND(career_stage="HP",teacher_type="R"), INDEX(INDIRECT("RHPS["&amp;X$10&amp;"]"),MATCH($H128,RHPS[helper],0),1), IF(AND(career_stage="P",teacher_type="TB"),INDEX(INDIRECT("TBPS["&amp;X$10&amp;"]"),MATCH($H128,TBPS[helper],0),1), IF(AND(career_stage="HP",teacher_type="TB"),INDEX(INDIRECT("TBHPS["&amp;X$10&amp;"]"),MATCH($H128,TBHPS[helper],0),1),"")))),""),"")</f>
        <v/>
      </c>
      <c r="Y128" s="391" t="str">
        <f ca="1">IFERROR(IF($O128,IF(AND(career_stage="P",teacher_type="R"),INDEX(INDIRECT("RPS["&amp;Y$10&amp;"]"),MATCH($H128,RPS[helper],0),1), IF(AND(career_stage="HP",teacher_type="R"), INDEX(INDIRECT("RHPS["&amp;Y$10&amp;"]"),MATCH($H128,RHPS[helper],0),1), IF(AND(career_stage="P",teacher_type="TB"),INDEX(INDIRECT("TBPS["&amp;Y$10&amp;"]"),MATCH($H128,TBPS[helper],0),1), IF(AND(career_stage="HP",teacher_type="TB"),INDEX(INDIRECT("TBHPS["&amp;Y$10&amp;"]"),MATCH($H128,TBHPS[helper],0),1),"")))),""),"")</f>
        <v/>
      </c>
      <c r="Z128" s="391" t="str">
        <f ca="1">IFERROR(IF($O128,IF(AND(career_stage="P",teacher_type="R"),INDEX(INDIRECT("RPS["&amp;Z$10&amp;"]"),MATCH($H128,RPS[helper],0),1), IF(AND(career_stage="HP",teacher_type="R"), INDEX(INDIRECT("RHPS["&amp;Z$10&amp;"]"),MATCH($H128,RHPS[helper],0),1), IF(AND(career_stage="P",teacher_type="TB"),INDEX(INDIRECT("TBPS["&amp;Z$10&amp;"]"),MATCH($H128,TBPS[helper],0),1), IF(AND(career_stage="HP",teacher_type="TB"),INDEX(INDIRECT("TBHPS["&amp;Z$10&amp;"]"),MATCH($H128,TBHPS[helper],0),1),"")))),""),"")</f>
        <v/>
      </c>
      <c r="AA128" s="391" t="str" cm="1">
        <f t="array" ref="AA128">IFERROR(INDEX(V128:Z128,6-AD126),"")</f>
        <v/>
      </c>
      <c r="AB128" s="680"/>
      <c r="AC128" s="680"/>
      <c r="AD128" s="680"/>
      <c r="AE128" s="682"/>
      <c r="AF128" s="661"/>
      <c r="AG128" s="5"/>
    </row>
    <row r="129" spans="1:33" hidden="1" x14ac:dyDescent="0.25">
      <c r="A129" s="92">
        <v>40</v>
      </c>
      <c r="B129" s="99" cm="1">
        <f t="array" ref="B129">IFERROR(IF(AND(teacher_type="R",career_stage="P"),INDEX(RPI[Strand],$A129),IF(AND(teacher_type="R",career_stage="HP"),INDEX(RHPI[Strand],$A129), IF(AND(teacher_type="TB",career_stage="P"),INDEX(TBPI[Strand],$A129), IF(AND(teacher_type="TB",career_stage="HP"),INDEX(TBHPI[Strand],$A129),0)))),0)</f>
        <v>0</v>
      </c>
      <c r="C129" s="99" t="str">
        <f>IFERROR(IF(AND(teacher_type="R",career_stage="P"),VLOOKUP($B129,RPI[[Strand]:[Domain]],COLUMNS(RPI[[Strand]:[Domain]]),FALSE), IF(AND(teacher_type="R",career_stage="HP"),VLOOKUP($B129,RHPI[[Strand]:[Domain]],COLUMNS(RHPI[[Strand]:[Domain]]),FALSE), IF(AND(teacher_type="TB",career_stage="P"),VLOOKUP($B129,TBPI[[Strand]:[Domain]],COLUMNS(TBPI[[Strand]:[Domain]]),FALSE), IF(AND(teacher_type="TB",career_stage="HP"),VLOOKUP($B129,TBHPI[[Strand]:[Domain]],COLUMNS(TBHPI[[Strand]:[Domain]]),FALSE),"")))),"")</f>
        <v/>
      </c>
      <c r="D129" s="99" t="b">
        <f>IFERROR(IF(AND(career_stage="P",teacher_type="R"),VLOOKUP(B129,RPI[],COLUMNS(RPI[[Strand]:[Selected]]),FALSE), IF(AND(career_stage="HP",teacher_type="R"),VLOOKUP(B129,RHPI[],COLUMNS(RHPI[[Strand]:[Selected]]),FALSE), IF(AND(career_stage="P",teacher_type="TB"),VLOOKUP(B129,TBPI[],COLUMNS(TBPI[[Strand]:[Selected]]),FALSE), IF(AND(career_stage="HP",teacher_type="TB"),VLOOKUP(B129,TBHPI[],COLUMNS(TBHPI[[Strand]:[Selected]]),FALSE),FALSE)))),FALSE)</f>
        <v>0</v>
      </c>
      <c r="E129" s="92" t="b">
        <f>COUNTIFS($C$12:$C129,C129,$D$12:$D129,TRUE)=1</f>
        <v>0</v>
      </c>
      <c r="F129" s="92" t="b">
        <f>COUNTIFS($C$12:$C129,$C129,$B$12:$B129,$B129,$D$12:$D129,TRUE)=1</f>
        <v>0</v>
      </c>
      <c r="G129" s="99">
        <f>IF($F129,COUNTIFS($C$12:$C129,C129,$F$12:$F129,TRUE),0)</f>
        <v>0</v>
      </c>
      <c r="H129" s="99" t="str">
        <f t="shared" si="43"/>
        <v>0-Q</v>
      </c>
      <c r="I129" s="99">
        <f>IF(AND(D129,NOT($A129=$A128)),(COUNTIF($D$11:$D128,TRUE)/3)+1,0)</f>
        <v>0</v>
      </c>
      <c r="J129" s="99" t="s">
        <v>1012</v>
      </c>
      <c r="K129" s="99" t="b">
        <f>IF(AND(teacher_type="R",career_stage="P"),IF(AND(COUNTIFS(RPS[Strand],$B129,RPS[QET],$J129)&gt;0,$D129),TRUE,FALSE), IF(AND(teacher_type="R",career_stage="HP"),IF(AND(COUNTIFS(RHPS[Strand],$B129,RHPS[QET],$J129)&gt;0,$D129),TRUE,FALSE), IF(AND(teacher_type="TB",career_stage="P"),IF(AND(COUNTIFS(TBPS[Strand],$B129,TBPS[QET],$J129)&gt;0,$D129),TRUE,FALSE), IF(AND(teacher_type="TB",career_stage="HP"),IF(AND(COUNTIFS(TBHPS[Strand],$B129,TBHPS[QET],$J129)&gt;0,$D129),TRUE,FALSE),FALSE))))</f>
        <v>0</v>
      </c>
      <c r="L129" s="99" t="str">
        <f>IF($K129,IF(AND(teacher_type="R",career_stage="P"),VLOOKUP($B129,RPI[],COLUMNS(RPI[[Strand]:[user_selected_coi_ncoi]]),FALSE), IF(AND(teacher_type="R",career_stage="HP"),VLOOKUP($B129,RHPI[],COLUMNS(RHPI[[Strand]:[user_selected_coi_ncoi]]),FALSE), IF(AND(teacher_type="TB",career_stage="P"),VLOOKUP($B129,TBPI[],COLUMNS(TBPI[[Strand]:[user_selected_coi_ncoi]]),FALSE), IF(AND(teacher_type="TB",career_stage="HP"),VLOOKUP($B129,TBHPI[],COLUMNS(TBHPI[[Strand]:[user_selected_coi_ncoi]]),FALSE),"")))),"")</f>
        <v/>
      </c>
      <c r="M129" s="99" t="b">
        <f>IF(AND(teacher_type="R",career_stage="P"),IF(AND(COUNTIFS(RPS[Strand],$B129,RPS[QET],M$11)&gt;0,$D129),TRUE,FALSE),IF(AND(teacher_type="R",career_stage="HP"),IF(AND(COUNTIFS(RHPS[Strand],$B129,RHPS[QET],M$11)&gt;0,$D129),TRUE,FALSE), IF(AND(teacher_type="TB",career_stage="P"),IF(AND(COUNTIFS(TBPS[Strand],$B129,TBPS[QET],M$11)&gt;0,$D129),TRUE,FALSE), IF(AND(teacher_type="TB",career_stage="HP"),IF(AND(COUNTIFS(TBHPS[Strand],$B129,TBHPS[QET],M$11)&gt;0,$D129),TRUE,FALSE),FALSE))))</f>
        <v>0</v>
      </c>
      <c r="N129" s="99" t="b">
        <f>IF(AND(teacher_type="R",career_stage="P"),IF(AND(COUNTIFS(RPS[Strand],$B129,RPS[QET],N$11)&gt;0,$D129),TRUE,FALSE),IF(AND(teacher_type="R",career_stage="HP"),IF(AND(COUNTIFS(RHPS[Strand],$B129,RHPS[QET],N$11)&gt;0,$D129),TRUE,FALSE), IF(AND(teacher_type="TB",career_stage="P"),IF(AND(COUNTIFS(TBPS[Strand],$B129,TBPS[QET],N$11)&gt;0,$D129),TRUE,FALSE), IF(AND(teacher_type="TB",career_stage="HP"),IF(AND(COUNTIFS(TBHPS[Strand],$B129,TBHPS[QET],N$11)&gt;0,$D129),TRUE,FALSE),FALSE))))</f>
        <v>0</v>
      </c>
      <c r="O129" s="99" t="b">
        <f>IF(AND(teacher_type="R",career_stage="P"),IF(AND(COUNTIFS(RPS[Strand],$B129,RPS[QET],O$11)&gt;0,$D129),TRUE,FALSE),IF(AND(teacher_type="R",career_stage="HP"),IF(AND(COUNTIFS(RHPS[Strand],$B129,RHPS[QET],O$11)&gt;0,$D129),TRUE,FALSE), IF(AND(teacher_type="TB",career_stage="P"),IF(AND(COUNTIFS(TBPS[Strand],$B129,TBPS[QET],O$11)&gt;0,$D129),TRUE,FALSE), IF(AND(teacher_type="TB",career_stage="HP"),IF(AND(COUNTIFS(TBHPS[Strand],$B129,TBHPS[QET],O$11)&gt;0,$D129),TRUE,FALSE),FALSE))))</f>
        <v>0</v>
      </c>
      <c r="P129" s="710"/>
      <c r="Q129" s="662" t="str">
        <f>IFERROR(IF(E129,IF(C129="Plus Factor","Plus Factor",C129 &amp; ". " &amp; INDEX(Domains[Domain],MATCH(C129,Domains[Domain_code],0),1)),""),"")</f>
        <v/>
      </c>
      <c r="R129" s="663" t="str">
        <f>IFERROR(IF($F129,$I129 &amp; ". " &amp; IF(AND(career_stage="P",teacher_type="R"), INDEX(RPI[PPST Indicators],MATCH($B129,RPI[Strand],0),1), IF(AND(career_stage="HP",teacher_type="R"),INDEX(RHPI[PPST Indicators],MATCH($B129,RHPI[Strand],0),1), IF(AND(career_stage="P",teacher_type="TB"),INDEX(TBPI[PPST Indicators],MATCH($B129,TBPI[Strand],0),1), IF(AND(career_stage="HP",teacher_type="TB"),INDEX(TBHPI[PPST Indicators],MATCH($B129,TBHPI[Strand],0),1),"")))) &amp; IF(NOT(TRIM(LOWER($C129))="plus factor")," (PPST "&amp;B129&amp;")",""),""),"")</f>
        <v/>
      </c>
      <c r="S129" s="664" t="str" cm="1">
        <f t="array" ref="S129">demographics[rating_period]</f>
        <v>SY 2023-2024</v>
      </c>
      <c r="T129" s="678">
        <f>IFERROR(IF(AND(career_stage="P",teacher_type="R"),VLOOKUP(B129,RPI[],COLUMNS(RPI[[Strand]:[Weight]]),FALSE), IF(AND(career_stage="HP",teacher_type="R"),VLOOKUP(B129,RHPI[],COLUMNS(RHPI[[Strand]:[Weight]]),FALSE), IF(AND(career_stage="P",teacher_type="TB"),VLOOKUP(B129,TBPI[],COLUMNS(TBPI[[Strand]:[Weight]]),FALSE), IF(AND(career_stage="HP",teacher_type="TB"),VLOOKUP(B129,TBHPI[],COLUMNS(TBHPI[[Strand]:[Weight]]),FALSE),0)))),0)</f>
        <v>0</v>
      </c>
      <c r="U129" s="94" t="s">
        <v>1185</v>
      </c>
      <c r="V129" s="391" t="str">
        <f ca="1">IFERROR(IF($M129,IF(AND(career_stage="P",teacher_type="R"),INDEX(INDIRECT("RPS["&amp;V$10&amp;"]"),MATCH($H129,RPS[helper],0),1), IF(AND(career_stage="HP",teacher_type="R"), INDEX(INDIRECT("RHPS["&amp;V$10&amp;"]"),MATCH($H129,RHPS[helper],0),1), IF(AND(career_stage="P",teacher_type="TB"),INDEX(INDIRECT("TBPS["&amp;V$10&amp;"]"),MATCH($H129,TBPS[helper],0),1), IF(AND(career_stage="HP",teacher_type="TB"),INDEX(INDIRECT("TBHPS["&amp;V$10&amp;"]"),MATCH($H129,TBHPS[helper],0),1),"")))),""),"")</f>
        <v/>
      </c>
      <c r="W129" s="391" t="str">
        <f ca="1">IFERROR(IF($M129,IF(AND(career_stage="P",teacher_type="R"),INDEX(INDIRECT("RPS["&amp;W$10&amp;"]"),MATCH($H129,RPS[helper],0),1), IF(AND(career_stage="HP",teacher_type="R"), INDEX(INDIRECT("RHPS["&amp;W$10&amp;"]"),MATCH($H129,RHPS[helper],0),1), IF(AND(career_stage="P",teacher_type="TB"),INDEX(INDIRECT("TBPS["&amp;W$10&amp;"]"),MATCH($H129,TBPS[helper],0),1), IF(AND(career_stage="HP",teacher_type="TB"),INDEX(INDIRECT("TBHPS["&amp;W$10&amp;"]"),MATCH($H129,TBHPS[helper],0),1),"")))),""),"")</f>
        <v/>
      </c>
      <c r="X129" s="391" t="str">
        <f ca="1">IFERROR(IF($M129,IF(AND(career_stage="P",teacher_type="R"),INDEX(INDIRECT("RPS["&amp;X$10&amp;"]"),MATCH($H129,RPS[helper],0),1), IF(AND(career_stage="HP",teacher_type="R"), INDEX(INDIRECT("RHPS["&amp;X$10&amp;"]"),MATCH($H129,RHPS[helper],0),1), IF(AND(career_stage="P",teacher_type="TB"),INDEX(INDIRECT("TBPS["&amp;X$10&amp;"]"),MATCH($H129,TBPS[helper],0),1), IF(AND(career_stage="HP",teacher_type="TB"),INDEX(INDIRECT("TBHPS["&amp;X$10&amp;"]"),MATCH($H129,TBHPS[helper],0),1),"")))),""),"")</f>
        <v/>
      </c>
      <c r="Y129" s="391" t="str">
        <f ca="1">IFERROR(IF($M129,IF(AND(career_stage="P",teacher_type="R"),INDEX(INDIRECT("RPS["&amp;Y$10&amp;"]"),MATCH($H129,RPS[helper],0),1), IF(AND(career_stage="HP",teacher_type="R"), INDEX(INDIRECT("RHPS["&amp;Y$10&amp;"]"),MATCH($H129,RHPS[helper],0),1), IF(AND(career_stage="P",teacher_type="TB"),INDEX(INDIRECT("TBPS["&amp;Y$10&amp;"]"),MATCH($H129,TBPS[helper],0),1), IF(AND(career_stage="HP",teacher_type="TB"),INDEX(INDIRECT("TBHPS["&amp;Y$10&amp;"]"),MATCH($H129,TBHPS[helper],0),1),"")))),""),"")</f>
        <v/>
      </c>
      <c r="Z129" s="391" t="str">
        <f ca="1">IFERROR(IF($M129,IF(AND(career_stage="P",teacher_type="R"),INDEX(INDIRECT("RPS["&amp;Z$10&amp;"]"),MATCH($H129,RPS[helper],0),1), IF(AND(career_stage="HP",teacher_type="R"), INDEX(INDIRECT("RHPS["&amp;Z$10&amp;"]"),MATCH($H129,RHPS[helper],0),1), IF(AND(career_stage="P",teacher_type="TB"),INDEX(INDIRECT("TBPS["&amp;Z$10&amp;"]"),MATCH($H129,TBPS[helper],0),1), IF(AND(career_stage="HP",teacher_type="TB"),INDEX(INDIRECT("TBHPS["&amp;Z$10&amp;"]"),MATCH($H129,TBHPS[helper],0),1),"")))),""),"")</f>
        <v/>
      </c>
      <c r="AA129" s="392" t="str" cm="1">
        <f t="array" ref="AA129">IFERROR(INDEX(V129:Z129,6-AB129),"")</f>
        <v/>
      </c>
      <c r="AB129" s="680" t="str">
        <f>IF('Encoding Part 1'!AB61="","",'Encoding Part 1'!AB61)</f>
        <v/>
      </c>
      <c r="AC129" s="680" t="str">
        <f>IF('Encoding Part 1'!AC61="","",'Encoding Part 1'!AC61)</f>
        <v/>
      </c>
      <c r="AD129" s="680" t="str">
        <f>IF('Encoding Part 1'!AD61="","",'Encoding Part 1'!AD61)</f>
        <v/>
      </c>
      <c r="AE129" s="682">
        <f t="shared" ref="AE129" si="78">IFERROR(ROUNDDOWN(AVERAGE($AB129:$AD129),3),0)</f>
        <v>0</v>
      </c>
      <c r="AF129" s="661">
        <f t="shared" ref="AF129" si="79">ROUNDDOWN($AE129*$T129,3)</f>
        <v>0</v>
      </c>
      <c r="AG129" s="5"/>
    </row>
    <row r="130" spans="1:33" hidden="1" x14ac:dyDescent="0.25">
      <c r="A130" s="92">
        <v>40</v>
      </c>
      <c r="B130" s="99" cm="1">
        <f t="array" ref="B130">IFERROR(IF(AND(teacher_type="R",career_stage="P"),INDEX(RPI[Strand],$A130),IF(AND(teacher_type="R",career_stage="HP"),INDEX(RHPI[Strand],$A130), IF(AND(teacher_type="TB",career_stage="P"),INDEX(TBPI[Strand],$A130), IF(AND(teacher_type="TB",career_stage="HP"),INDEX(TBHPI[Strand],$A130),0)))),0)</f>
        <v>0</v>
      </c>
      <c r="C130" s="99" t="str">
        <f>IFERROR(IF(AND(teacher_type="R",career_stage="P"),VLOOKUP($B130,RPI[[Strand]:[Domain]],COLUMNS(RPI[[Strand]:[Domain]]),FALSE), IF(AND(teacher_type="R",career_stage="HP"),VLOOKUP($B130,RHPI[[Strand]:[Domain]],COLUMNS(RHPI[[Strand]:[Domain]]),FALSE), IF(AND(teacher_type="TB",career_stage="P"),VLOOKUP($B130,TBPI[[Strand]:[Domain]],COLUMNS(TBPI[[Strand]:[Domain]]),FALSE), IF(AND(teacher_type="TB",career_stage="HP"),VLOOKUP($B130,TBHPI[[Strand]:[Domain]],COLUMNS(TBHPI[[Strand]:[Domain]]),FALSE),"")))),"")</f>
        <v/>
      </c>
      <c r="D130" s="99" t="b">
        <f>IFERROR(IF(AND(career_stage="P",teacher_type="R"),VLOOKUP(B130,RPI[],COLUMNS(RPI[[Strand]:[Selected]]),FALSE), IF(AND(career_stage="HP",teacher_type="R"),VLOOKUP(B130,RHPI[],COLUMNS(RHPI[[Strand]:[Selected]]),FALSE), IF(AND(career_stage="P",teacher_type="TB"),VLOOKUP(B130,TBPI[],COLUMNS(TBPI[[Strand]:[Selected]]),FALSE), IF(AND(career_stage="HP",teacher_type="TB"),VLOOKUP(B130,TBHPI[],COLUMNS(TBHPI[[Strand]:[Selected]]),FALSE),FALSE)))),FALSE)</f>
        <v>0</v>
      </c>
      <c r="E130" s="92" t="b">
        <f>COUNTIFS($C$12:$C130,C130,$D$12:$D130,TRUE)=1</f>
        <v>0</v>
      </c>
      <c r="F130" s="92" t="b">
        <f>COUNTIFS($C$12:$C130,$C130,$B$12:$B130,$B130,$D$12:$D130,TRUE)=1</f>
        <v>0</v>
      </c>
      <c r="G130" s="99">
        <f>IF($F130,COUNTIFS($C$12:$C130,C130,$F$12:$F130,TRUE),0)</f>
        <v>0</v>
      </c>
      <c r="H130" s="99" t="str">
        <f t="shared" si="43"/>
        <v>0-E</v>
      </c>
      <c r="I130" s="99">
        <f>IF(AND(D130,NOT($A130=$A129)),(COUNTIF($D$11:$D129,TRUE)/3)+1,0)</f>
        <v>0</v>
      </c>
      <c r="J130" s="99" t="s">
        <v>1073</v>
      </c>
      <c r="K130" s="99" t="b">
        <f>IF(AND(teacher_type="R",career_stage="P"),IF(AND(COUNTIFS(RPS[Strand],$B130,RPS[QET],$J130)&gt;0,$D130),TRUE,FALSE), IF(AND(teacher_type="R",career_stage="HP"),IF(AND(COUNTIFS(RHPS[Strand],$B130,RHPS[QET],$J130)&gt;0,$D130),TRUE,FALSE), IF(AND(teacher_type="TB",career_stage="P"),IF(AND(COUNTIFS(TBPS[Strand],$B130,TBPS[QET],$J130)&gt;0,$D130),TRUE,FALSE), IF(AND(teacher_type="TB",career_stage="HP"),IF(AND(COUNTIFS(TBHPS[Strand],$B130,TBHPS[QET],$J130)&gt;0,$D130),TRUE,FALSE),FALSE))))</f>
        <v>0</v>
      </c>
      <c r="L130" s="99" t="str">
        <f>IF($K130,IF(AND(teacher_type="R",career_stage="P"),VLOOKUP($B130,RPI[],COLUMNS(RPI[[Strand]:[user_selected_coi_ncoi]]),FALSE), IF(AND(teacher_type="R",career_stage="HP"),VLOOKUP($B130,RHPI[],COLUMNS(RHPI[[Strand]:[user_selected_coi_ncoi]]),FALSE), IF(AND(teacher_type="TB",career_stage="P"),VLOOKUP($B130,TBPI[],COLUMNS(TBPI[[Strand]:[user_selected_coi_ncoi]]),FALSE), IF(AND(teacher_type="TB",career_stage="HP"),VLOOKUP($B130,TBHPI[],COLUMNS(TBHPI[[Strand]:[user_selected_coi_ncoi]]),FALSE),"")))),"")</f>
        <v/>
      </c>
      <c r="M130" s="99" t="b">
        <f>IF(AND(teacher_type="R",career_stage="P"),IF(AND(COUNTIFS(RPS[Strand],$B130,RPS[QET],M$11)&gt;0,$D130),TRUE,FALSE),IF(AND(teacher_type="R",career_stage="HP"),IF(AND(COUNTIFS(RHPS[Strand],$B130,RHPS[QET],M$11)&gt;0,$D130),TRUE,FALSE), IF(AND(teacher_type="TB",career_stage="P"),IF(AND(COUNTIFS(TBPS[Strand],$B130,TBPS[QET],M$11)&gt;0,$D130),TRUE,FALSE), IF(AND(teacher_type="TB",career_stage="HP"),IF(AND(COUNTIFS(TBHPS[Strand],$B130,TBHPS[QET],M$11)&gt;0,$D130),TRUE,FALSE),FALSE))))</f>
        <v>0</v>
      </c>
      <c r="N130" s="99" t="b">
        <f>IF(AND(teacher_type="R",career_stage="P"),IF(AND(COUNTIFS(RPS[Strand],$B130,RPS[QET],N$11)&gt;0,$D130),TRUE,FALSE),IF(AND(teacher_type="R",career_stage="HP"),IF(AND(COUNTIFS(RHPS[Strand],$B130,RHPS[QET],N$11)&gt;0,$D130),TRUE,FALSE), IF(AND(teacher_type="TB",career_stage="P"),IF(AND(COUNTIFS(TBPS[Strand],$B130,TBPS[QET],N$11)&gt;0,$D130),TRUE,FALSE), IF(AND(teacher_type="TB",career_stage="HP"),IF(AND(COUNTIFS(TBHPS[Strand],$B130,TBHPS[QET],N$11)&gt;0,$D130),TRUE,FALSE),FALSE))))</f>
        <v>0</v>
      </c>
      <c r="O130" s="99" t="b">
        <f>IF(AND(teacher_type="R",career_stage="P"),IF(AND(COUNTIFS(RPS[Strand],$B130,RPS[QET],O$11)&gt;0,$D130),TRUE,FALSE),IF(AND(teacher_type="R",career_stage="HP"),IF(AND(COUNTIFS(RHPS[Strand],$B130,RHPS[QET],O$11)&gt;0,$D130),TRUE,FALSE), IF(AND(teacher_type="TB",career_stage="P"),IF(AND(COUNTIFS(TBPS[Strand],$B130,TBPS[QET],O$11)&gt;0,$D130),TRUE,FALSE), IF(AND(teacher_type="TB",career_stage="HP"),IF(AND(COUNTIFS(TBHPS[Strand],$B130,TBHPS[QET],O$11)&gt;0,$D130),TRUE,FALSE),FALSE))))</f>
        <v>0</v>
      </c>
      <c r="P130" s="710"/>
      <c r="Q130" s="662"/>
      <c r="R130" s="663"/>
      <c r="S130" s="664"/>
      <c r="T130" s="678"/>
      <c r="U130" s="94" t="s">
        <v>1186</v>
      </c>
      <c r="V130" s="391" t="str">
        <f ca="1">IFERROR(IF($N130,IF(AND(career_stage="P",teacher_type="R"),INDEX(INDIRECT("RPS["&amp;V$10&amp;"]"),MATCH($H130,RPS[helper],0),1), IF(AND(career_stage="HP",teacher_type="R"), INDEX(INDIRECT("RHPS["&amp;V$10&amp;"]"),MATCH($H130,RHPS[helper],0),1), IF(AND(career_stage="P",teacher_type="TB"),INDEX(INDIRECT("TBPS["&amp;V$10&amp;"]"),MATCH($H130,TBPS[helper],0),1), IF(AND(career_stage="HP",teacher_type="TB"),INDEX(INDIRECT("TBHPS["&amp;V$10&amp;"]"),MATCH($H130,TBHPS[helper],0),1),"")))),""),"")</f>
        <v/>
      </c>
      <c r="W130" s="391" t="str">
        <f ca="1">IFERROR(IF($N130,IF(AND(career_stage="P",teacher_type="R"),INDEX(INDIRECT("RPS["&amp;W$10&amp;"]"),MATCH($H130,RPS[helper],0),1), IF(AND(career_stage="HP",teacher_type="R"), INDEX(INDIRECT("RHPS["&amp;W$10&amp;"]"),MATCH($H130,RHPS[helper],0),1), IF(AND(career_stage="P",teacher_type="TB"),INDEX(INDIRECT("TBPS["&amp;W$10&amp;"]"),MATCH($H130,TBPS[helper],0),1), IF(AND(career_stage="HP",teacher_type="TB"),INDEX(INDIRECT("TBHPS["&amp;W$10&amp;"]"),MATCH($H130,TBHPS[helper],0),1),"")))),""),"")</f>
        <v/>
      </c>
      <c r="X130" s="391" t="str">
        <f ca="1">IFERROR(IF($N130,IF(AND(career_stage="P",teacher_type="R"),INDEX(INDIRECT("RPS["&amp;X$10&amp;"]"),MATCH($H130,RPS[helper],0),1), IF(AND(career_stage="HP",teacher_type="R"), INDEX(INDIRECT("RHPS["&amp;X$10&amp;"]"),MATCH($H130,RHPS[helper],0),1), IF(AND(career_stage="P",teacher_type="TB"),INDEX(INDIRECT("TBPS["&amp;X$10&amp;"]"),MATCH($H130,TBPS[helper],0),1), IF(AND(career_stage="HP",teacher_type="TB"),INDEX(INDIRECT("TBHPS["&amp;X$10&amp;"]"),MATCH($H130,TBHPS[helper],0),1),"")))),""),"")</f>
        <v/>
      </c>
      <c r="Y130" s="391" t="str">
        <f ca="1">IFERROR(IF($N130,IF(AND(career_stage="P",teacher_type="R"),INDEX(INDIRECT("RPS["&amp;Y$10&amp;"]"),MATCH($H130,RPS[helper],0),1), IF(AND(career_stage="HP",teacher_type="R"), INDEX(INDIRECT("RHPS["&amp;Y$10&amp;"]"),MATCH($H130,RHPS[helper],0),1), IF(AND(career_stage="P",teacher_type="TB"),INDEX(INDIRECT("TBPS["&amp;Y$10&amp;"]"),MATCH($H130,TBPS[helper],0),1), IF(AND(career_stage="HP",teacher_type="TB"),INDEX(INDIRECT("TBHPS["&amp;Y$10&amp;"]"),MATCH($H130,TBHPS[helper],0),1),"")))),""),"")</f>
        <v/>
      </c>
      <c r="Z130" s="391" t="str">
        <f ca="1">IFERROR(IF($N130,IF(AND(career_stage="P",teacher_type="R"),INDEX(INDIRECT("RPS["&amp;Z$10&amp;"]"),MATCH($H130,RPS[helper],0),1), IF(AND(career_stage="HP",teacher_type="R"), INDEX(INDIRECT("RHPS["&amp;Z$10&amp;"]"),MATCH($H130,RHPS[helper],0),1), IF(AND(career_stage="P",teacher_type="TB"),INDEX(INDIRECT("TBPS["&amp;Z$10&amp;"]"),MATCH($H130,TBPS[helper],0),1), IF(AND(career_stage="HP",teacher_type="TB"),INDEX(INDIRECT("TBHPS["&amp;Z$10&amp;"]"),MATCH($H130,TBHPS[helper],0),1),"")))),""),"")</f>
        <v/>
      </c>
      <c r="AA130" s="392" t="str" cm="1">
        <f t="array" ref="AA130">IFERROR(INDEX(V130:Z130,6-AC129),"")</f>
        <v/>
      </c>
      <c r="AB130" s="680"/>
      <c r="AC130" s="680"/>
      <c r="AD130" s="680"/>
      <c r="AE130" s="682"/>
      <c r="AF130" s="661"/>
      <c r="AG130" s="5"/>
    </row>
    <row r="131" spans="1:33" ht="15.75" hidden="1" thickBot="1" x14ac:dyDescent="0.3">
      <c r="A131" s="92">
        <v>40</v>
      </c>
      <c r="B131" s="99" cm="1">
        <f t="array" ref="B131">IFERROR(IF(AND(teacher_type="R",career_stage="P"),INDEX(RPI[Strand],$A131),IF(AND(teacher_type="R",career_stage="HP"),INDEX(RHPI[Strand],$A131), IF(AND(teacher_type="TB",career_stage="P"),INDEX(TBPI[Strand],$A131), IF(AND(teacher_type="TB",career_stage="HP"),INDEX(TBHPI[Strand],$A131),0)))),0)</f>
        <v>0</v>
      </c>
      <c r="C131" s="99" t="str">
        <f>IFERROR(IF(AND(teacher_type="R",career_stage="P"),VLOOKUP($B131,RPI[[Strand]:[Domain]],COLUMNS(RPI[[Strand]:[Domain]]),FALSE), IF(AND(teacher_type="R",career_stage="HP"),VLOOKUP($B131,RHPI[[Strand]:[Domain]],COLUMNS(RHPI[[Strand]:[Domain]]),FALSE), IF(AND(teacher_type="TB",career_stage="P"),VLOOKUP($B131,TBPI[[Strand]:[Domain]],COLUMNS(TBPI[[Strand]:[Domain]]),FALSE), IF(AND(teacher_type="TB",career_stage="HP"),VLOOKUP($B131,TBHPI[[Strand]:[Domain]],COLUMNS(TBHPI[[Strand]:[Domain]]),FALSE),"")))),"")</f>
        <v/>
      </c>
      <c r="D131" s="99" t="b">
        <f>IFERROR(IF(AND(career_stage="P",teacher_type="R"),VLOOKUP(B131,RPI[],COLUMNS(RPI[[Strand]:[Selected]]),FALSE), IF(AND(career_stage="HP",teacher_type="R"),VLOOKUP(B131,RHPI[],COLUMNS(RHPI[[Strand]:[Selected]]),FALSE), IF(AND(career_stage="P",teacher_type="TB"),VLOOKUP(B131,TBPI[],COLUMNS(TBPI[[Strand]:[Selected]]),FALSE), IF(AND(career_stage="HP",teacher_type="TB"),VLOOKUP(B131,TBHPI[],COLUMNS(TBHPI[[Strand]:[Selected]]),FALSE),FALSE)))),FALSE)</f>
        <v>0</v>
      </c>
      <c r="E131" s="92" t="b">
        <f>COUNTIFS($C$12:$C131,C131,$D$12:$D131,TRUE)=1</f>
        <v>0</v>
      </c>
      <c r="F131" s="92" t="b">
        <f>COUNTIFS($C$12:$C131,$C131,$B$12:$B131,$B131,$D$12:$D131,TRUE)=1</f>
        <v>0</v>
      </c>
      <c r="G131" s="99">
        <f>IF($F131,COUNTIFS($C$12:$C131,C131,$F$12:$F131,TRUE),0)</f>
        <v>0</v>
      </c>
      <c r="H131" s="99" t="str">
        <f t="shared" si="43"/>
        <v>0-T</v>
      </c>
      <c r="I131" s="99">
        <f>IF(AND(D131,NOT($A131=$A130)),(COUNTIF($D$11:$D130,TRUE)/3)+1,0)</f>
        <v>0</v>
      </c>
      <c r="J131" s="99" t="s">
        <v>1014</v>
      </c>
      <c r="K131" s="99" t="b">
        <f>IF(AND(teacher_type="R",career_stage="P"),IF(AND(COUNTIFS(RPS[Strand],$B131,RPS[QET],$J131)&gt;0,$D131),TRUE,FALSE), IF(AND(teacher_type="R",career_stage="HP"),IF(AND(COUNTIFS(RHPS[Strand],$B131,RHPS[QET],$J131)&gt;0,$D131),TRUE,FALSE), IF(AND(teacher_type="TB",career_stage="P"),IF(AND(COUNTIFS(TBPS[Strand],$B131,TBPS[QET],$J131)&gt;0,$D131),TRUE,FALSE), IF(AND(teacher_type="TB",career_stage="HP"),IF(AND(COUNTIFS(TBHPS[Strand],$B131,TBHPS[QET],$J131)&gt;0,$D131),TRUE,FALSE),FALSE))))</f>
        <v>0</v>
      </c>
      <c r="L131" s="99" t="str">
        <f>IF($K131,IF(AND(teacher_type="R",career_stage="P"),VLOOKUP($B131,RPI[],COLUMNS(RPI[[Strand]:[user_selected_coi_ncoi]]),FALSE), IF(AND(teacher_type="R",career_stage="HP"),VLOOKUP($B131,RHPI[],COLUMNS(RHPI[[Strand]:[user_selected_coi_ncoi]]),FALSE), IF(AND(teacher_type="TB",career_stage="P"),VLOOKUP($B131,TBPI[],COLUMNS(TBPI[[Strand]:[user_selected_coi_ncoi]]),FALSE), IF(AND(teacher_type="TB",career_stage="HP"),VLOOKUP($B131,TBHPI[],COLUMNS(TBHPI[[Strand]:[user_selected_coi_ncoi]]),FALSE),"")))),"")</f>
        <v/>
      </c>
      <c r="M131" s="99" t="b">
        <f>IF(AND(teacher_type="R",career_stage="P"),IF(AND(COUNTIFS(RPS[Strand],$B131,RPS[QET],M$11)&gt;0,$D131),TRUE,FALSE),IF(AND(teacher_type="R",career_stage="HP"),IF(AND(COUNTIFS(RHPS[Strand],$B131,RHPS[QET],M$11)&gt;0,$D131),TRUE,FALSE), IF(AND(teacher_type="TB",career_stage="P"),IF(AND(COUNTIFS(TBPS[Strand],$B131,TBPS[QET],M$11)&gt;0,$D131),TRUE,FALSE), IF(AND(teacher_type="TB",career_stage="HP"),IF(AND(COUNTIFS(TBHPS[Strand],$B131,TBHPS[QET],M$11)&gt;0,$D131),TRUE,FALSE),FALSE))))</f>
        <v>0</v>
      </c>
      <c r="N131" s="99" t="b">
        <f>IF(AND(teacher_type="R",career_stage="P"),IF(AND(COUNTIFS(RPS[Strand],$B131,RPS[QET],N$11)&gt;0,$D131),TRUE,FALSE),IF(AND(teacher_type="R",career_stage="HP"),IF(AND(COUNTIFS(RHPS[Strand],$B131,RHPS[QET],N$11)&gt;0,$D131),TRUE,FALSE), IF(AND(teacher_type="TB",career_stage="P"),IF(AND(COUNTIFS(TBPS[Strand],$B131,TBPS[QET],N$11)&gt;0,$D131),TRUE,FALSE), IF(AND(teacher_type="TB",career_stage="HP"),IF(AND(COUNTIFS(TBHPS[Strand],$B131,TBHPS[QET],N$11)&gt;0,$D131),TRUE,FALSE),FALSE))))</f>
        <v>0</v>
      </c>
      <c r="O131" s="99" t="b">
        <f>IF(AND(teacher_type="R",career_stage="P"),IF(AND(COUNTIFS(RPS[Strand],$B131,RPS[QET],O$11)&gt;0,$D131),TRUE,FALSE),IF(AND(teacher_type="R",career_stage="HP"),IF(AND(COUNTIFS(RHPS[Strand],$B131,RHPS[QET],O$11)&gt;0,$D131),TRUE,FALSE), IF(AND(teacher_type="TB",career_stage="P"),IF(AND(COUNTIFS(TBPS[Strand],$B131,TBPS[QET],O$11)&gt;0,$D131),TRUE,FALSE), IF(AND(teacher_type="TB",career_stage="HP"),IF(AND(COUNTIFS(TBHPS[Strand],$B131,TBHPS[QET],O$11)&gt;0,$D131),TRUE,FALSE),FALSE))))</f>
        <v>0</v>
      </c>
      <c r="P131" s="711"/>
      <c r="Q131" s="675"/>
      <c r="R131" s="676"/>
      <c r="S131" s="677"/>
      <c r="T131" s="679"/>
      <c r="U131" s="96" t="s">
        <v>1187</v>
      </c>
      <c r="V131" s="393" t="str">
        <f ca="1">IFERROR(IF($O131,IF(AND(career_stage="P",teacher_type="R"),INDEX(INDIRECT("RPS["&amp;V$10&amp;"]"),MATCH($H131,RPS[helper],0),1), IF(AND(career_stage="HP",teacher_type="R"), INDEX(INDIRECT("RHPS["&amp;V$10&amp;"]"),MATCH($H131,RHPS[helper],0),1), IF(AND(career_stage="P",teacher_type="TB"),INDEX(INDIRECT("TBPS["&amp;V$10&amp;"]"),MATCH($H131,TBPS[helper],0),1), IF(AND(career_stage="HP",teacher_type="TB"),INDEX(INDIRECT("TBHPS["&amp;V$10&amp;"]"),MATCH($H131,TBHPS[helper],0),1),"")))),""),"")</f>
        <v/>
      </c>
      <c r="W131" s="393" t="str">
        <f ca="1">IFERROR(IF($O131,IF(AND(career_stage="P",teacher_type="R"),INDEX(INDIRECT("RPS["&amp;W$10&amp;"]"),MATCH($H131,RPS[helper],0),1), IF(AND(career_stage="HP",teacher_type="R"), INDEX(INDIRECT("RHPS["&amp;W$10&amp;"]"),MATCH($H131,RHPS[helper],0),1), IF(AND(career_stage="P",teacher_type="TB"),INDEX(INDIRECT("TBPS["&amp;W$10&amp;"]"),MATCH($H131,TBPS[helper],0),1), IF(AND(career_stage="HP",teacher_type="TB"),INDEX(INDIRECT("TBHPS["&amp;W$10&amp;"]"),MATCH($H131,TBHPS[helper],0),1),"")))),""),"")</f>
        <v/>
      </c>
      <c r="X131" s="393" t="str">
        <f ca="1">IFERROR(IF($O131,IF(AND(career_stage="P",teacher_type="R"),INDEX(INDIRECT("RPS["&amp;X$10&amp;"]"),MATCH($H131,RPS[helper],0),1), IF(AND(career_stage="HP",teacher_type="R"), INDEX(INDIRECT("RHPS["&amp;X$10&amp;"]"),MATCH($H131,RHPS[helper],0),1), IF(AND(career_stage="P",teacher_type="TB"),INDEX(INDIRECT("TBPS["&amp;X$10&amp;"]"),MATCH($H131,TBPS[helper],0),1), IF(AND(career_stage="HP",teacher_type="TB"),INDEX(INDIRECT("TBHPS["&amp;X$10&amp;"]"),MATCH($H131,TBHPS[helper],0),1),"")))),""),"")</f>
        <v/>
      </c>
      <c r="Y131" s="393" t="str">
        <f ca="1">IFERROR(IF($O131,IF(AND(career_stage="P",teacher_type="R"),INDEX(INDIRECT("RPS["&amp;Y$10&amp;"]"),MATCH($H131,RPS[helper],0),1), IF(AND(career_stage="HP",teacher_type="R"), INDEX(INDIRECT("RHPS["&amp;Y$10&amp;"]"),MATCH($H131,RHPS[helper],0),1), IF(AND(career_stage="P",teacher_type="TB"),INDEX(INDIRECT("TBPS["&amp;Y$10&amp;"]"),MATCH($H131,TBPS[helper],0),1), IF(AND(career_stage="HP",teacher_type="TB"),INDEX(INDIRECT("TBHPS["&amp;Y$10&amp;"]"),MATCH($H131,TBHPS[helper],0),1),"")))),""),"")</f>
        <v/>
      </c>
      <c r="Z131" s="393" t="str">
        <f ca="1">IFERROR(IF($O131,IF(AND(career_stage="P",teacher_type="R"),INDEX(INDIRECT("RPS["&amp;Z$10&amp;"]"),MATCH($H131,RPS[helper],0),1), IF(AND(career_stage="HP",teacher_type="R"), INDEX(INDIRECT("RHPS["&amp;Z$10&amp;"]"),MATCH($H131,RHPS[helper],0),1), IF(AND(career_stage="P",teacher_type="TB"),INDEX(INDIRECT("TBPS["&amp;Z$10&amp;"]"),MATCH($H131,TBPS[helper],0),1), IF(AND(career_stage="HP",teacher_type="TB"),INDEX(INDIRECT("TBHPS["&amp;Z$10&amp;"]"),MATCH($H131,TBHPS[helper],0),1),"")))),""),"")</f>
        <v/>
      </c>
      <c r="AA131" s="393" t="str" cm="1">
        <f t="array" ref="AA131">IFERROR(INDEX(V131:Z131,6-AD129),"")</f>
        <v/>
      </c>
      <c r="AB131" s="681"/>
      <c r="AC131" s="681"/>
      <c r="AD131" s="681"/>
      <c r="AE131" s="683"/>
      <c r="AF131" s="665"/>
      <c r="AG131" s="5"/>
    </row>
    <row r="132" spans="1:33" ht="36.950000000000003" customHeight="1" thickBot="1" x14ac:dyDescent="0.3">
      <c r="P132" s="439"/>
      <c r="Q132" s="439"/>
      <c r="R132" s="439"/>
      <c r="S132" s="439"/>
      <c r="T132" s="439"/>
      <c r="U132" s="439"/>
      <c r="V132" s="439"/>
      <c r="W132" s="439"/>
      <c r="X132" s="439"/>
      <c r="Y132" s="666" t="s">
        <v>1188</v>
      </c>
      <c r="Z132" s="666"/>
      <c r="AA132" s="667"/>
      <c r="AB132" s="668" t="str">
        <f>IFERROR(VLOOKUP($AF$132,rating_desc_vlookup,2,TRUE),"")</f>
        <v>Outstanding</v>
      </c>
      <c r="AC132" s="669"/>
      <c r="AD132" s="669"/>
      <c r="AE132" s="670"/>
      <c r="AF132" s="440">
        <f>ROUNDDOWN(SUM(AF12:AF131),3)</f>
        <v>4.5990000000000002</v>
      </c>
      <c r="AG132" s="5"/>
    </row>
    <row r="133" spans="1:33" ht="15.75" customHeight="1" thickBot="1" x14ac:dyDescent="0.3">
      <c r="P133" s="671" t="s">
        <v>1189</v>
      </c>
      <c r="Q133" s="672"/>
      <c r="R133" s="672"/>
      <c r="S133" s="672"/>
      <c r="T133" s="672"/>
      <c r="U133" s="673"/>
    </row>
    <row r="134" spans="1:33" ht="15.75" customHeight="1" x14ac:dyDescent="0.25">
      <c r="P134" s="674" t="s">
        <v>1190</v>
      </c>
      <c r="Q134" s="674"/>
      <c r="R134" s="674" t="s">
        <v>1191</v>
      </c>
      <c r="S134" s="674"/>
      <c r="T134" s="674"/>
      <c r="U134" s="674"/>
    </row>
    <row r="135" spans="1:33" ht="15.75" customHeight="1" x14ac:dyDescent="0.25">
      <c r="P135" s="659" t="s">
        <v>1192</v>
      </c>
      <c r="Q135" s="659"/>
      <c r="R135" s="659" t="s">
        <v>773</v>
      </c>
      <c r="S135" s="659"/>
      <c r="T135" s="659"/>
      <c r="U135" s="659"/>
    </row>
    <row r="136" spans="1:33" ht="15.75" customHeight="1" x14ac:dyDescent="0.25">
      <c r="P136" s="659" t="s">
        <v>1193</v>
      </c>
      <c r="Q136" s="659"/>
      <c r="R136" s="659" t="s">
        <v>764</v>
      </c>
      <c r="S136" s="659"/>
      <c r="T136" s="659"/>
      <c r="U136" s="659"/>
    </row>
    <row r="137" spans="1:33" ht="15.75" customHeight="1" x14ac:dyDescent="0.25">
      <c r="P137" s="659" t="s">
        <v>1194</v>
      </c>
      <c r="Q137" s="659"/>
      <c r="R137" s="659" t="s">
        <v>751</v>
      </c>
      <c r="S137" s="659"/>
      <c r="T137" s="659"/>
      <c r="U137" s="659"/>
    </row>
    <row r="138" spans="1:33" ht="15.75" customHeight="1" x14ac:dyDescent="0.25">
      <c r="P138" s="659" t="s">
        <v>1195</v>
      </c>
      <c r="Q138" s="659"/>
      <c r="R138" s="659" t="s">
        <v>732</v>
      </c>
      <c r="S138" s="659"/>
      <c r="T138" s="659"/>
      <c r="U138" s="659"/>
    </row>
    <row r="139" spans="1:33" ht="15.75" customHeight="1" x14ac:dyDescent="0.25">
      <c r="P139" s="659" t="s">
        <v>1196</v>
      </c>
      <c r="Q139" s="659"/>
      <c r="R139" s="659" t="s">
        <v>714</v>
      </c>
      <c r="S139" s="659"/>
      <c r="T139" s="659"/>
      <c r="U139" s="659"/>
    </row>
    <row r="140" spans="1:33" x14ac:dyDescent="0.25">
      <c r="P140" s="92"/>
    </row>
    <row r="141" spans="1:33" x14ac:dyDescent="0.25">
      <c r="P141" s="92"/>
    </row>
    <row r="144" spans="1:33" ht="16.5" x14ac:dyDescent="0.3">
      <c r="P144" s="92"/>
      <c r="Q144" s="656" t="str">
        <f>'Encoding Part 1'!Q7</f>
        <v>ROWENA S. GOLLA</v>
      </c>
      <c r="R144" s="656"/>
      <c r="S144" s="656"/>
      <c r="T144" s="656"/>
      <c r="V144" s="660" t="str">
        <f>'Encoding Part 1'!Q68</f>
        <v>FRANCISCO P. MUYANA</v>
      </c>
      <c r="W144" s="660"/>
      <c r="X144" s="660"/>
      <c r="Z144" s="656" t="str" cm="1">
        <f t="array" ref="Z144">demographics[approving_authority_firstname] &amp; " " &amp; IF(demographics[approving_authority_middlename]="","",LEFT(demographics[approving_authority_middlename],1)&amp;". ") &amp; demographics[approving_authority_lastname]</f>
        <v>ROWENA B. SISON</v>
      </c>
      <c r="AA144" s="656"/>
      <c r="AB144" s="656"/>
      <c r="AC144" s="656"/>
      <c r="AD144" s="656"/>
    </row>
    <row r="145" spans="16:30" ht="15" customHeight="1" x14ac:dyDescent="0.25">
      <c r="P145" s="92"/>
      <c r="Q145" s="657" t="s">
        <v>998</v>
      </c>
      <c r="R145" s="657"/>
      <c r="S145" s="657"/>
      <c r="T145" s="657"/>
      <c r="U145" s="93"/>
      <c r="V145" s="658" t="s">
        <v>1197</v>
      </c>
      <c r="W145" s="658"/>
      <c r="X145" s="658"/>
      <c r="Y145" s="93"/>
      <c r="Z145" s="657" t="s">
        <v>1198</v>
      </c>
      <c r="AA145" s="657"/>
      <c r="AB145" s="657"/>
      <c r="AC145" s="657"/>
      <c r="AD145" s="657"/>
    </row>
  </sheetData>
  <sheetProtection algorithmName="SHA-512" hashValue="4cltItdJ4kf1OAWyVH0CHoVcHn7r4ADrddG5EDuGhu7TH/S5LA/er4prL37amVmPsv+F5Hgbwpm2UNeH7ZT59g==" saltValue="5Nzfgv15bbfRAFU4dWScSw==" spinCount="100000" sheet="1" objects="1" scenarios="1" formatRows="0" selectLockedCells="1" selectUnlockedCells="1"/>
  <mergeCells count="410">
    <mergeCell ref="Q123:Q125"/>
    <mergeCell ref="R123:R125"/>
    <mergeCell ref="S123:S125"/>
    <mergeCell ref="T123:T125"/>
    <mergeCell ref="AB123:AB125"/>
    <mergeCell ref="AC123:AC125"/>
    <mergeCell ref="AD123:AD125"/>
    <mergeCell ref="AE123:AE125"/>
    <mergeCell ref="AF123:AF125"/>
    <mergeCell ref="Q120:Q122"/>
    <mergeCell ref="R120:R122"/>
    <mergeCell ref="S120:S122"/>
    <mergeCell ref="T120:T122"/>
    <mergeCell ref="AB120:AB122"/>
    <mergeCell ref="AC120:AC122"/>
    <mergeCell ref="AD120:AD122"/>
    <mergeCell ref="AE120:AE122"/>
    <mergeCell ref="AF120:AF122"/>
    <mergeCell ref="Q93:Q95"/>
    <mergeCell ref="R93:R95"/>
    <mergeCell ref="S93:S95"/>
    <mergeCell ref="T93:T95"/>
    <mergeCell ref="AB93:AB95"/>
    <mergeCell ref="AC93:AC95"/>
    <mergeCell ref="AD93:AD95"/>
    <mergeCell ref="AE93:AE95"/>
    <mergeCell ref="AF93:AF95"/>
    <mergeCell ref="Q90:Q92"/>
    <mergeCell ref="R90:R92"/>
    <mergeCell ref="S90:S92"/>
    <mergeCell ref="T90:T92"/>
    <mergeCell ref="AB90:AB92"/>
    <mergeCell ref="AC90:AC92"/>
    <mergeCell ref="AD90:AD92"/>
    <mergeCell ref="AE90:AE92"/>
    <mergeCell ref="AF90:AF92"/>
    <mergeCell ref="Q99:Q101"/>
    <mergeCell ref="R99:R101"/>
    <mergeCell ref="S99:S101"/>
    <mergeCell ref="T99:T101"/>
    <mergeCell ref="AB99:AB101"/>
    <mergeCell ref="AC99:AC101"/>
    <mergeCell ref="AD99:AD101"/>
    <mergeCell ref="AE99:AE101"/>
    <mergeCell ref="AF99:AF101"/>
    <mergeCell ref="Q96:Q98"/>
    <mergeCell ref="R96:R98"/>
    <mergeCell ref="S96:S98"/>
    <mergeCell ref="T96:T98"/>
    <mergeCell ref="AB96:AB98"/>
    <mergeCell ref="AC96:AC98"/>
    <mergeCell ref="AD96:AD98"/>
    <mergeCell ref="AE96:AE98"/>
    <mergeCell ref="AF96:AF98"/>
    <mergeCell ref="Q105:Q107"/>
    <mergeCell ref="R105:R107"/>
    <mergeCell ref="S105:S107"/>
    <mergeCell ref="T105:T107"/>
    <mergeCell ref="AB105:AB107"/>
    <mergeCell ref="AC105:AC107"/>
    <mergeCell ref="AD105:AD107"/>
    <mergeCell ref="AE105:AE107"/>
    <mergeCell ref="AF105:AF107"/>
    <mergeCell ref="Q102:Q104"/>
    <mergeCell ref="R102:R104"/>
    <mergeCell ref="S102:S104"/>
    <mergeCell ref="T102:T104"/>
    <mergeCell ref="AB102:AB104"/>
    <mergeCell ref="AC102:AC104"/>
    <mergeCell ref="AD102:AD104"/>
    <mergeCell ref="AE102:AE104"/>
    <mergeCell ref="AF102:AF104"/>
    <mergeCell ref="Q111:Q113"/>
    <mergeCell ref="R111:R113"/>
    <mergeCell ref="S111:S113"/>
    <mergeCell ref="T111:T113"/>
    <mergeCell ref="AB111:AB113"/>
    <mergeCell ref="AC111:AC113"/>
    <mergeCell ref="AD111:AD113"/>
    <mergeCell ref="AE111:AE113"/>
    <mergeCell ref="AF111:AF113"/>
    <mergeCell ref="Q108:Q110"/>
    <mergeCell ref="R108:R110"/>
    <mergeCell ref="S108:S110"/>
    <mergeCell ref="T108:T110"/>
    <mergeCell ref="AB108:AB110"/>
    <mergeCell ref="AC108:AC110"/>
    <mergeCell ref="AD108:AD110"/>
    <mergeCell ref="AE108:AE110"/>
    <mergeCell ref="AF108:AF110"/>
    <mergeCell ref="Q117:Q119"/>
    <mergeCell ref="R117:R119"/>
    <mergeCell ref="S117:S119"/>
    <mergeCell ref="T117:T119"/>
    <mergeCell ref="AB117:AB119"/>
    <mergeCell ref="AC117:AC119"/>
    <mergeCell ref="AD117:AD119"/>
    <mergeCell ref="AE117:AE119"/>
    <mergeCell ref="AF117:AF119"/>
    <mergeCell ref="Q114:Q116"/>
    <mergeCell ref="R114:R116"/>
    <mergeCell ref="S114:S116"/>
    <mergeCell ref="T114:T116"/>
    <mergeCell ref="AB114:AB116"/>
    <mergeCell ref="AC114:AC116"/>
    <mergeCell ref="AD114:AD116"/>
    <mergeCell ref="AE114:AE116"/>
    <mergeCell ref="AF114:AF116"/>
    <mergeCell ref="Q57:Q59"/>
    <mergeCell ref="R57:R59"/>
    <mergeCell ref="S57:S59"/>
    <mergeCell ref="T57:T59"/>
    <mergeCell ref="AB57:AB59"/>
    <mergeCell ref="AC57:AC59"/>
    <mergeCell ref="AD57:AD59"/>
    <mergeCell ref="AE57:AE59"/>
    <mergeCell ref="AF57:AF59"/>
    <mergeCell ref="Q54:Q56"/>
    <mergeCell ref="R54:R56"/>
    <mergeCell ref="S54:S56"/>
    <mergeCell ref="T54:T56"/>
    <mergeCell ref="AB54:AB56"/>
    <mergeCell ref="AC54:AC56"/>
    <mergeCell ref="AD54:AD56"/>
    <mergeCell ref="AE54:AE56"/>
    <mergeCell ref="AF54:AF56"/>
    <mergeCell ref="Q51:Q53"/>
    <mergeCell ref="R51:R53"/>
    <mergeCell ref="S51:S53"/>
    <mergeCell ref="T51:T53"/>
    <mergeCell ref="AB51:AB53"/>
    <mergeCell ref="AC51:AC53"/>
    <mergeCell ref="AD51:AD53"/>
    <mergeCell ref="AE51:AE53"/>
    <mergeCell ref="AF51:AF53"/>
    <mergeCell ref="Q48:Q50"/>
    <mergeCell ref="R48:R50"/>
    <mergeCell ref="S48:S50"/>
    <mergeCell ref="T48:T50"/>
    <mergeCell ref="AB48:AB50"/>
    <mergeCell ref="AC48:AC50"/>
    <mergeCell ref="AD48:AD50"/>
    <mergeCell ref="AE48:AE50"/>
    <mergeCell ref="AF48:AF50"/>
    <mergeCell ref="Q69:Q71"/>
    <mergeCell ref="R69:R71"/>
    <mergeCell ref="S69:S71"/>
    <mergeCell ref="T69:T71"/>
    <mergeCell ref="AB69:AB71"/>
    <mergeCell ref="AC69:AC71"/>
    <mergeCell ref="AD69:AD71"/>
    <mergeCell ref="AE69:AE71"/>
    <mergeCell ref="AF69:AF71"/>
    <mergeCell ref="Q66:Q68"/>
    <mergeCell ref="R66:R68"/>
    <mergeCell ref="S66:S68"/>
    <mergeCell ref="T66:T68"/>
    <mergeCell ref="AB66:AB68"/>
    <mergeCell ref="AC66:AC68"/>
    <mergeCell ref="AD66:AD68"/>
    <mergeCell ref="AE66:AE68"/>
    <mergeCell ref="AF66:AF68"/>
    <mergeCell ref="Q63:Q65"/>
    <mergeCell ref="R63:R65"/>
    <mergeCell ref="S63:S65"/>
    <mergeCell ref="T63:T65"/>
    <mergeCell ref="AB63:AB65"/>
    <mergeCell ref="AC63:AC65"/>
    <mergeCell ref="AD63:AD65"/>
    <mergeCell ref="AE63:AE65"/>
    <mergeCell ref="AF63:AF65"/>
    <mergeCell ref="Q60:Q62"/>
    <mergeCell ref="R60:R62"/>
    <mergeCell ref="S60:S62"/>
    <mergeCell ref="T60:T62"/>
    <mergeCell ref="AB60:AB62"/>
    <mergeCell ref="AC60:AC62"/>
    <mergeCell ref="AD60:AD62"/>
    <mergeCell ref="AE60:AE62"/>
    <mergeCell ref="AF60:AF62"/>
    <mergeCell ref="AB78:AB80"/>
    <mergeCell ref="AC78:AC80"/>
    <mergeCell ref="AD78:AD80"/>
    <mergeCell ref="AE78:AE80"/>
    <mergeCell ref="AF78:AF80"/>
    <mergeCell ref="Q81:Q83"/>
    <mergeCell ref="R81:R83"/>
    <mergeCell ref="S81:S83"/>
    <mergeCell ref="T81:T83"/>
    <mergeCell ref="AB81:AB83"/>
    <mergeCell ref="AC81:AC83"/>
    <mergeCell ref="AD81:AD83"/>
    <mergeCell ref="AE81:AE83"/>
    <mergeCell ref="AF81:AF83"/>
    <mergeCell ref="AE72:AE74"/>
    <mergeCell ref="AF72:AF74"/>
    <mergeCell ref="Q75:Q77"/>
    <mergeCell ref="R75:R77"/>
    <mergeCell ref="S75:S77"/>
    <mergeCell ref="T75:T77"/>
    <mergeCell ref="AB75:AB77"/>
    <mergeCell ref="AC75:AC77"/>
    <mergeCell ref="AD75:AD77"/>
    <mergeCell ref="AE75:AE77"/>
    <mergeCell ref="AF75:AF77"/>
    <mergeCell ref="AE84:AE86"/>
    <mergeCell ref="AF84:AF86"/>
    <mergeCell ref="Q87:Q89"/>
    <mergeCell ref="R87:R89"/>
    <mergeCell ref="S87:S89"/>
    <mergeCell ref="T87:T89"/>
    <mergeCell ref="AB87:AB89"/>
    <mergeCell ref="AC87:AC89"/>
    <mergeCell ref="AD87:AD89"/>
    <mergeCell ref="AE87:AE89"/>
    <mergeCell ref="AF87:AF89"/>
    <mergeCell ref="Q30:Q32"/>
    <mergeCell ref="T33:T35"/>
    <mergeCell ref="Q33:Q35"/>
    <mergeCell ref="T36:T38"/>
    <mergeCell ref="Q36:Q38"/>
    <mergeCell ref="T39:T41"/>
    <mergeCell ref="Q39:Q41"/>
    <mergeCell ref="T42:T44"/>
    <mergeCell ref="Q42:Q44"/>
    <mergeCell ref="Q15:Q17"/>
    <mergeCell ref="T18:T20"/>
    <mergeCell ref="Q18:Q20"/>
    <mergeCell ref="T21:T23"/>
    <mergeCell ref="Q21:Q23"/>
    <mergeCell ref="T24:T26"/>
    <mergeCell ref="Q24:Q26"/>
    <mergeCell ref="T27:T29"/>
    <mergeCell ref="Q27:Q29"/>
    <mergeCell ref="R15:R17"/>
    <mergeCell ref="S15:S17"/>
    <mergeCell ref="P4:R4"/>
    <mergeCell ref="S4:X4"/>
    <mergeCell ref="Y4:Z4"/>
    <mergeCell ref="AA4:AF4"/>
    <mergeCell ref="P5:R5"/>
    <mergeCell ref="S5:X5"/>
    <mergeCell ref="Y5:AF5"/>
    <mergeCell ref="P1:AF1"/>
    <mergeCell ref="P2:R2"/>
    <mergeCell ref="S2:X2"/>
    <mergeCell ref="Y2:Z2"/>
    <mergeCell ref="AA2:AF2"/>
    <mergeCell ref="P3:R3"/>
    <mergeCell ref="S3:X3"/>
    <mergeCell ref="Y3:Z3"/>
    <mergeCell ref="AA3:AF3"/>
    <mergeCell ref="AF9:AF11"/>
    <mergeCell ref="U10:U11"/>
    <mergeCell ref="R12:R14"/>
    <mergeCell ref="S12:S14"/>
    <mergeCell ref="AB12:AB14"/>
    <mergeCell ref="AC12:AC14"/>
    <mergeCell ref="AD12:AD14"/>
    <mergeCell ref="P8:Z8"/>
    <mergeCell ref="AA8:AF8"/>
    <mergeCell ref="P9:P11"/>
    <mergeCell ref="Q9:Q11"/>
    <mergeCell ref="R9:R11"/>
    <mergeCell ref="S9:S11"/>
    <mergeCell ref="T9:T11"/>
    <mergeCell ref="U9:Z9"/>
    <mergeCell ref="AA9:AA11"/>
    <mergeCell ref="AB9:AE10"/>
    <mergeCell ref="Q12:Q14"/>
    <mergeCell ref="T12:T14"/>
    <mergeCell ref="AE12:AE14"/>
    <mergeCell ref="AF12:AF14"/>
    <mergeCell ref="P12:P131"/>
    <mergeCell ref="AB15:AB17"/>
    <mergeCell ref="AC15:AC17"/>
    <mergeCell ref="AD15:AD17"/>
    <mergeCell ref="AE15:AE17"/>
    <mergeCell ref="AF15:AF17"/>
    <mergeCell ref="T15:T17"/>
    <mergeCell ref="AF18:AF20"/>
    <mergeCell ref="R21:R23"/>
    <mergeCell ref="S21:S23"/>
    <mergeCell ref="AB21:AB23"/>
    <mergeCell ref="AC21:AC23"/>
    <mergeCell ref="AD21:AD23"/>
    <mergeCell ref="AE21:AE23"/>
    <mergeCell ref="AF21:AF23"/>
    <mergeCell ref="R18:R20"/>
    <mergeCell ref="S18:S20"/>
    <mergeCell ref="AB18:AB20"/>
    <mergeCell ref="AC18:AC20"/>
    <mergeCell ref="AD18:AD20"/>
    <mergeCell ref="AE18:AE20"/>
    <mergeCell ref="AF24:AF26"/>
    <mergeCell ref="R27:R29"/>
    <mergeCell ref="S27:S29"/>
    <mergeCell ref="AB27:AB29"/>
    <mergeCell ref="AC27:AC29"/>
    <mergeCell ref="AD27:AD29"/>
    <mergeCell ref="AE27:AE29"/>
    <mergeCell ref="AF27:AF29"/>
    <mergeCell ref="R24:R26"/>
    <mergeCell ref="S24:S26"/>
    <mergeCell ref="AB24:AB26"/>
    <mergeCell ref="AC24:AC26"/>
    <mergeCell ref="AD24:AD26"/>
    <mergeCell ref="AE24:AE26"/>
    <mergeCell ref="AB42:AB44"/>
    <mergeCell ref="AC42:AC44"/>
    <mergeCell ref="AD30:AD32"/>
    <mergeCell ref="AE30:AE32"/>
    <mergeCell ref="AF30:AF32"/>
    <mergeCell ref="R33:R35"/>
    <mergeCell ref="S33:S35"/>
    <mergeCell ref="AB33:AB35"/>
    <mergeCell ref="AC33:AC35"/>
    <mergeCell ref="AD33:AD35"/>
    <mergeCell ref="AE33:AE35"/>
    <mergeCell ref="AF33:AF35"/>
    <mergeCell ref="R30:R32"/>
    <mergeCell ref="S30:S32"/>
    <mergeCell ref="AB30:AB32"/>
    <mergeCell ref="AC30:AC32"/>
    <mergeCell ref="T30:T32"/>
    <mergeCell ref="AD42:AD44"/>
    <mergeCell ref="AE42:AE44"/>
    <mergeCell ref="AF42:AF44"/>
    <mergeCell ref="AE126:AE128"/>
    <mergeCell ref="R45:R47"/>
    <mergeCell ref="S45:S47"/>
    <mergeCell ref="AB45:AB47"/>
    <mergeCell ref="AC45:AC47"/>
    <mergeCell ref="AD45:AD47"/>
    <mergeCell ref="AD36:AD38"/>
    <mergeCell ref="AE36:AE38"/>
    <mergeCell ref="AF36:AF38"/>
    <mergeCell ref="R39:R41"/>
    <mergeCell ref="S39:S41"/>
    <mergeCell ref="AB39:AB41"/>
    <mergeCell ref="AC39:AC41"/>
    <mergeCell ref="AD39:AD41"/>
    <mergeCell ref="AE39:AE41"/>
    <mergeCell ref="AF39:AF41"/>
    <mergeCell ref="R36:R38"/>
    <mergeCell ref="S36:S38"/>
    <mergeCell ref="AB36:AB38"/>
    <mergeCell ref="AC36:AC38"/>
    <mergeCell ref="R42:R44"/>
    <mergeCell ref="S42:S44"/>
    <mergeCell ref="AE45:AE47"/>
    <mergeCell ref="AF45:AF47"/>
    <mergeCell ref="T45:T47"/>
    <mergeCell ref="Q45:Q47"/>
    <mergeCell ref="Q126:Q128"/>
    <mergeCell ref="R126:R128"/>
    <mergeCell ref="S126:S128"/>
    <mergeCell ref="T126:T128"/>
    <mergeCell ref="AB126:AB128"/>
    <mergeCell ref="AC126:AC128"/>
    <mergeCell ref="AD126:AD128"/>
    <mergeCell ref="T84:T86"/>
    <mergeCell ref="AB84:AB86"/>
    <mergeCell ref="AC84:AC86"/>
    <mergeCell ref="AD84:AD86"/>
    <mergeCell ref="Q72:Q74"/>
    <mergeCell ref="R72:R74"/>
    <mergeCell ref="S72:S74"/>
    <mergeCell ref="T72:T74"/>
    <mergeCell ref="AB72:AB74"/>
    <mergeCell ref="AC72:AC74"/>
    <mergeCell ref="AD72:AD74"/>
    <mergeCell ref="Q78:Q80"/>
    <mergeCell ref="R78:R80"/>
    <mergeCell ref="S78:S80"/>
    <mergeCell ref="T78:T80"/>
    <mergeCell ref="AF126:AF128"/>
    <mergeCell ref="Q84:Q86"/>
    <mergeCell ref="R84:R86"/>
    <mergeCell ref="S84:S86"/>
    <mergeCell ref="P135:Q135"/>
    <mergeCell ref="R135:U135"/>
    <mergeCell ref="P136:Q136"/>
    <mergeCell ref="R136:U136"/>
    <mergeCell ref="P137:Q137"/>
    <mergeCell ref="R137:U137"/>
    <mergeCell ref="AF129:AF131"/>
    <mergeCell ref="Y132:AA132"/>
    <mergeCell ref="AB132:AE132"/>
    <mergeCell ref="P133:U133"/>
    <mergeCell ref="P134:Q134"/>
    <mergeCell ref="R134:U134"/>
    <mergeCell ref="Q129:Q131"/>
    <mergeCell ref="R129:R131"/>
    <mergeCell ref="S129:S131"/>
    <mergeCell ref="T129:T131"/>
    <mergeCell ref="AB129:AB131"/>
    <mergeCell ref="AC129:AC131"/>
    <mergeCell ref="AD129:AD131"/>
    <mergeCell ref="AE129:AE131"/>
    <mergeCell ref="Z144:AD144"/>
    <mergeCell ref="Q145:T145"/>
    <mergeCell ref="V145:X145"/>
    <mergeCell ref="Z145:AD145"/>
    <mergeCell ref="P138:Q138"/>
    <mergeCell ref="R138:U138"/>
    <mergeCell ref="P139:Q139"/>
    <mergeCell ref="R139:U139"/>
    <mergeCell ref="Q144:T144"/>
    <mergeCell ref="V144:X144"/>
  </mergeCells>
  <conditionalFormatting sqref="P9:AF11">
    <cfRule type="expression" dxfId="157" priority="4">
      <formula>career_stage="HP"</formula>
    </cfRule>
    <cfRule type="expression" dxfId="156" priority="5">
      <formula>career_stage="P"</formula>
    </cfRule>
  </conditionalFormatting>
  <conditionalFormatting sqref="Q12:Q131">
    <cfRule type="expression" dxfId="155" priority="3">
      <formula>AND(NOT($E12),$A12&gt;1)</formula>
    </cfRule>
  </conditionalFormatting>
  <conditionalFormatting sqref="AB12:AD131">
    <cfRule type="expression" dxfId="154" priority="2">
      <formula>NOT(M12)</formula>
    </cfRule>
  </conditionalFormatting>
  <conditionalFormatting sqref="V12:AA131">
    <cfRule type="cellIs" dxfId="153" priority="1" operator="equal">
      <formula>0</formula>
    </cfRule>
  </conditionalFormatting>
  <printOptions horizontalCentered="1"/>
  <pageMargins left="0.5" right="0.5" top="0.7" bottom="0.55000000000000004" header="0" footer="0.23"/>
  <pageSetup paperSize="9" scale="74" fitToHeight="0" orientation="landscape" r:id="rId1"/>
  <headerFooter>
    <oddHeader>&amp;C&amp;"Calibri,Regular"&amp;K000000&amp;G</oddHeader>
    <oddFooter>Page &amp;P of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11969" r:id="rId5" name="Button 1">
              <controlPr defaultSize="0" print="0" autoFill="0" autoPict="0" macro="[0]!PART1.InitializeSheet">
                <anchor moveWithCells="1" sizeWithCells="1">
                  <from>
                    <xdr:col>32</xdr:col>
                    <xdr:colOff>657225</xdr:colOff>
                    <xdr:row>0</xdr:row>
                    <xdr:rowOff>0</xdr:rowOff>
                  </from>
                  <to>
                    <xdr:col>34</xdr:col>
                    <xdr:colOff>276225</xdr:colOff>
                    <xdr:row>1</xdr:row>
                    <xdr:rowOff>76200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26CEC-E977-F04E-B5D3-6E149E6DCF90}">
  <sheetPr codeName="PART2">
    <pageSetUpPr fitToPage="1"/>
  </sheetPr>
  <dimension ref="A1:D22"/>
  <sheetViews>
    <sheetView showGridLines="0" topLeftCell="A12" zoomScaleNormal="100" workbookViewId="0">
      <selection sqref="A1:D1"/>
    </sheetView>
  </sheetViews>
  <sheetFormatPr defaultColWidth="8.85546875" defaultRowHeight="15" x14ac:dyDescent="0.25"/>
  <cols>
    <col min="1" max="1" width="64.42578125" customWidth="1"/>
    <col min="2" max="2" width="10.28515625" customWidth="1"/>
    <col min="3" max="3" width="64.42578125" customWidth="1"/>
    <col min="4" max="4" width="10.28515625" customWidth="1"/>
  </cols>
  <sheetData>
    <row r="1" spans="1:4" ht="16.5" thickBot="1" x14ac:dyDescent="0.3">
      <c r="A1" s="726" t="s">
        <v>1199</v>
      </c>
      <c r="B1" s="727"/>
      <c r="C1" s="727"/>
      <c r="D1" s="728"/>
    </row>
    <row r="2" spans="1:4" ht="15.75" thickBot="1" x14ac:dyDescent="0.3">
      <c r="A2" s="729" t="s">
        <v>1200</v>
      </c>
      <c r="B2" s="730"/>
      <c r="C2" s="730"/>
      <c r="D2" s="731"/>
    </row>
    <row r="3" spans="1:4" ht="16.5" thickBot="1" x14ac:dyDescent="0.3">
      <c r="A3" s="732" t="s">
        <v>1201</v>
      </c>
      <c r="B3" s="733"/>
      <c r="C3" s="733"/>
      <c r="D3" s="734"/>
    </row>
    <row r="4" spans="1:4" s="5" customFormat="1" ht="17.25" customHeight="1" x14ac:dyDescent="0.25">
      <c r="A4" s="101" t="s">
        <v>1131</v>
      </c>
      <c r="B4" s="722">
        <f>COUNTIF(part2_sm_selection,TRUE)</f>
        <v>5</v>
      </c>
      <c r="C4" s="102" t="s">
        <v>1149</v>
      </c>
      <c r="D4" s="722">
        <f>COUNTIF(part2_tw_selection,TRUE)</f>
        <v>4</v>
      </c>
    </row>
    <row r="5" spans="1:4" s="5" customFormat="1" ht="20.25" customHeight="1" x14ac:dyDescent="0.25">
      <c r="A5" s="103" t="s">
        <v>1202</v>
      </c>
      <c r="B5" s="723"/>
      <c r="C5" s="104" t="s">
        <v>1203</v>
      </c>
      <c r="D5" s="723"/>
    </row>
    <row r="6" spans="1:4" s="5" customFormat="1" ht="26.25" customHeight="1" x14ac:dyDescent="0.25">
      <c r="A6" s="103" t="s">
        <v>1204</v>
      </c>
      <c r="B6" s="723"/>
      <c r="C6" s="104" t="s">
        <v>1205</v>
      </c>
      <c r="D6" s="723"/>
    </row>
    <row r="7" spans="1:4" s="5" customFormat="1" ht="20.25" customHeight="1" x14ac:dyDescent="0.25">
      <c r="A7" s="103" t="s">
        <v>1206</v>
      </c>
      <c r="B7" s="723"/>
      <c r="C7" s="104" t="s">
        <v>1207</v>
      </c>
      <c r="D7" s="723"/>
    </row>
    <row r="8" spans="1:4" s="5" customFormat="1" ht="20.25" customHeight="1" x14ac:dyDescent="0.25">
      <c r="A8" s="103" t="s">
        <v>1208</v>
      </c>
      <c r="B8" s="723"/>
      <c r="C8" s="104" t="s">
        <v>1209</v>
      </c>
      <c r="D8" s="723"/>
    </row>
    <row r="9" spans="1:4" s="5" customFormat="1" ht="26.25" customHeight="1" thickBot="1" x14ac:dyDescent="0.3">
      <c r="A9" s="105" t="s">
        <v>1210</v>
      </c>
      <c r="B9" s="724"/>
      <c r="C9" s="106" t="s">
        <v>1211</v>
      </c>
      <c r="D9" s="724"/>
    </row>
    <row r="10" spans="1:4" s="5" customFormat="1" ht="17.25" customHeight="1" x14ac:dyDescent="0.25">
      <c r="A10" s="101" t="s">
        <v>1212</v>
      </c>
      <c r="B10" s="722">
        <f>COUNTIF(part2_pe_selection,TRUE)</f>
        <v>4</v>
      </c>
      <c r="C10" s="102" t="s">
        <v>1155</v>
      </c>
      <c r="D10" s="722">
        <f>COUNTIF(part2_so_selection,TRUE)</f>
        <v>5</v>
      </c>
    </row>
    <row r="11" spans="1:4" s="5" customFormat="1" ht="26.25" customHeight="1" x14ac:dyDescent="0.25">
      <c r="A11" s="103" t="s">
        <v>1213</v>
      </c>
      <c r="B11" s="723"/>
      <c r="C11" s="104" t="s">
        <v>1214</v>
      </c>
      <c r="D11" s="723"/>
    </row>
    <row r="12" spans="1:4" s="5" customFormat="1" ht="26.25" customHeight="1" x14ac:dyDescent="0.25">
      <c r="A12" s="103" t="s">
        <v>1215</v>
      </c>
      <c r="B12" s="723"/>
      <c r="C12" s="104" t="s">
        <v>1216</v>
      </c>
      <c r="D12" s="723"/>
    </row>
    <row r="13" spans="1:4" s="5" customFormat="1" ht="26.25" customHeight="1" x14ac:dyDescent="0.25">
      <c r="A13" s="103" t="s">
        <v>1217</v>
      </c>
      <c r="B13" s="723"/>
      <c r="C13" s="104" t="s">
        <v>1218</v>
      </c>
      <c r="D13" s="723"/>
    </row>
    <row r="14" spans="1:4" s="5" customFormat="1" ht="26.25" customHeight="1" x14ac:dyDescent="0.25">
      <c r="A14" s="103" t="s">
        <v>1219</v>
      </c>
      <c r="B14" s="723"/>
      <c r="C14" s="104" t="s">
        <v>1220</v>
      </c>
      <c r="D14" s="723"/>
    </row>
    <row r="15" spans="1:4" s="5" customFormat="1" ht="26.25" customHeight="1" thickBot="1" x14ac:dyDescent="0.3">
      <c r="A15" s="103" t="s">
        <v>1221</v>
      </c>
      <c r="B15" s="724"/>
      <c r="C15" s="104" t="s">
        <v>1222</v>
      </c>
      <c r="D15" s="724"/>
    </row>
    <row r="16" spans="1:4" s="5" customFormat="1" ht="17.25" customHeight="1" x14ac:dyDescent="0.25">
      <c r="A16" s="107" t="s">
        <v>1143</v>
      </c>
      <c r="B16" s="722">
        <f>COUNTIF(part2_rf_selection,TRUE)</f>
        <v>4</v>
      </c>
      <c r="C16" s="108" t="s">
        <v>1161</v>
      </c>
      <c r="D16" s="722">
        <f>COUNTIF(part2_innov_selection,TRUE)</f>
        <v>5</v>
      </c>
    </row>
    <row r="17" spans="1:4" s="5" customFormat="1" ht="26.25" customHeight="1" x14ac:dyDescent="0.25">
      <c r="A17" s="109" t="s">
        <v>1223</v>
      </c>
      <c r="B17" s="723"/>
      <c r="C17" s="110" t="s">
        <v>1224</v>
      </c>
      <c r="D17" s="723"/>
    </row>
    <row r="18" spans="1:4" s="5" customFormat="1" ht="26.25" customHeight="1" x14ac:dyDescent="0.25">
      <c r="A18" s="109" t="s">
        <v>1225</v>
      </c>
      <c r="B18" s="723"/>
      <c r="C18" s="110" t="s">
        <v>1226</v>
      </c>
      <c r="D18" s="723"/>
    </row>
    <row r="19" spans="1:4" s="5" customFormat="1" ht="44.25" customHeight="1" x14ac:dyDescent="0.25">
      <c r="A19" s="109" t="s">
        <v>1227</v>
      </c>
      <c r="B19" s="723"/>
      <c r="C19" s="110" t="s">
        <v>1228</v>
      </c>
      <c r="D19" s="723"/>
    </row>
    <row r="20" spans="1:4" s="5" customFormat="1" ht="26.25" customHeight="1" x14ac:dyDescent="0.25">
      <c r="A20" s="109" t="s">
        <v>1229</v>
      </c>
      <c r="B20" s="723"/>
      <c r="C20" s="110" t="s">
        <v>1230</v>
      </c>
      <c r="D20" s="723"/>
    </row>
    <row r="21" spans="1:4" s="5" customFormat="1" ht="44.25" customHeight="1" thickBot="1" x14ac:dyDescent="0.3">
      <c r="A21" s="109" t="s">
        <v>1231</v>
      </c>
      <c r="B21" s="724"/>
      <c r="C21" s="111" t="s">
        <v>1232</v>
      </c>
      <c r="D21" s="724"/>
    </row>
    <row r="22" spans="1:4" x14ac:dyDescent="0.25">
      <c r="A22" s="725" t="s">
        <v>1233</v>
      </c>
      <c r="B22" s="725"/>
      <c r="C22" s="725"/>
      <c r="D22" s="725"/>
    </row>
  </sheetData>
  <sheetProtection algorithmName="SHA-512" hashValue="Tvm0h4QtnmK90q+WLmIkDVIQT79DxIyJs4Y+ZWh+xpG4xEgsOwfJERsxGRVqBWLspMo0wj/N4ALqiFzhmlR+jQ==" saltValue="CLzWJT5/bu2f5lhWYJmflw==" spinCount="100000" sheet="1" objects="1" scenarios="1" selectLockedCells="1" selectUnlockedCells="1"/>
  <mergeCells count="10">
    <mergeCell ref="B16:B21"/>
    <mergeCell ref="D16:D21"/>
    <mergeCell ref="A22:D22"/>
    <mergeCell ref="A1:D1"/>
    <mergeCell ref="A2:D2"/>
    <mergeCell ref="A3:D3"/>
    <mergeCell ref="B4:B9"/>
    <mergeCell ref="D4:D9"/>
    <mergeCell ref="B10:B15"/>
    <mergeCell ref="D10:D15"/>
  </mergeCells>
  <conditionalFormatting sqref="A1:D1">
    <cfRule type="expression" dxfId="152" priority="1">
      <formula>career_stage="P"</formula>
    </cfRule>
    <cfRule type="expression" dxfId="151" priority="2">
      <formula>career_stage="HP"</formula>
    </cfRule>
  </conditionalFormatting>
  <dataValidations count="1">
    <dataValidation type="whole" allowBlank="1" showInputMessage="1" showErrorMessage="1" sqref="B4:B21 D4:D21" xr:uid="{589D662B-A260-6A44-893F-2DC982004F7E}">
      <formula1>0</formula1>
      <formula2>5</formula2>
    </dataValidation>
  </dataValidations>
  <printOptions horizontalCentered="1" verticalCentered="1"/>
  <pageMargins left="0.64" right="0.7" top="0.68" bottom="0.24" header="0" footer="0.3"/>
  <pageSetup paperSize="9" scale="88" orientation="landscape" r:id="rId1"/>
  <headerFooter>
    <oddHeader>&amp;C&amp;"Calibri,Regular"&amp;K000000&amp;G</oddHeader>
  </headerFooter>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914D5-3853-064C-BCBB-8EC27CDA73BF}">
  <sheetPr codeName="PART3">
    <pageSetUpPr fitToPage="1"/>
  </sheetPr>
  <dimension ref="A1:W58"/>
  <sheetViews>
    <sheetView showGridLines="0" view="pageBreakPreview" topLeftCell="A26" zoomScaleNormal="140" zoomScaleSheetLayoutView="100" workbookViewId="0">
      <selection activeCell="S20" sqref="S20"/>
    </sheetView>
  </sheetViews>
  <sheetFormatPr defaultColWidth="8.85546875" defaultRowHeight="15.6" customHeight="1" x14ac:dyDescent="0.25"/>
  <cols>
    <col min="1" max="1" width="8.85546875" style="47" customWidth="1"/>
    <col min="2" max="12" width="7" style="119" hidden="1" customWidth="1"/>
    <col min="13" max="13" width="16.140625" style="47" customWidth="1"/>
    <col min="14" max="14" width="17.42578125" style="47" customWidth="1"/>
    <col min="15" max="15" width="16.28515625" style="47" customWidth="1"/>
    <col min="16" max="16" width="12.42578125" style="47" customWidth="1"/>
    <col min="17" max="18" width="10.85546875" style="47" bestFit="1" customWidth="1"/>
    <col min="19" max="19" width="8.85546875" style="47"/>
    <col min="20" max="21" width="10.85546875" style="47" customWidth="1"/>
    <col min="22" max="22" width="18.7109375" style="47" customWidth="1"/>
    <col min="23" max="16384" width="8.85546875" style="47"/>
  </cols>
  <sheetData>
    <row r="1" spans="1:23" ht="18.95" customHeight="1" x14ac:dyDescent="0.25">
      <c r="A1" s="774" t="s">
        <v>1234</v>
      </c>
      <c r="B1" s="774"/>
      <c r="C1" s="774"/>
      <c r="D1" s="774"/>
      <c r="E1" s="774"/>
      <c r="F1" s="774"/>
      <c r="G1" s="774"/>
      <c r="H1" s="774"/>
      <c r="I1" s="774"/>
      <c r="J1" s="774"/>
      <c r="K1" s="774"/>
      <c r="L1" s="774"/>
      <c r="M1" s="774"/>
      <c r="N1" s="774"/>
      <c r="O1" s="774"/>
      <c r="P1" s="774"/>
      <c r="Q1" s="774"/>
      <c r="R1" s="774"/>
      <c r="S1" s="774"/>
      <c r="T1" s="774"/>
      <c r="U1" s="774"/>
      <c r="V1" s="774"/>
      <c r="W1" s="774"/>
    </row>
    <row r="2" spans="1:23" ht="18.95" customHeight="1" x14ac:dyDescent="0.25">
      <c r="A2" s="781" t="str">
        <f>IF(teacher_type="R","Regular Teachers","Teacher Broadcasters") &amp; " in the " &amp; IF(career_stage="P", "Proficient", "Highly Proficient") &amp; " Stage"</f>
        <v>Regular Teachers in the Proficient Stage</v>
      </c>
      <c r="B2" s="781"/>
      <c r="C2" s="781"/>
      <c r="D2" s="781"/>
      <c r="E2" s="781"/>
      <c r="F2" s="781"/>
      <c r="G2" s="781"/>
      <c r="H2" s="781"/>
      <c r="I2" s="781"/>
      <c r="J2" s="781"/>
      <c r="K2" s="781"/>
      <c r="L2" s="781"/>
      <c r="M2" s="781"/>
      <c r="N2" s="781"/>
      <c r="O2" s="781"/>
      <c r="P2" s="781"/>
      <c r="Q2" s="781"/>
      <c r="R2" s="781"/>
      <c r="S2" s="781"/>
      <c r="T2" s="781"/>
      <c r="U2" s="781"/>
      <c r="V2" s="781"/>
      <c r="W2" s="781"/>
    </row>
    <row r="3" spans="1:23" ht="9" customHeight="1" x14ac:dyDescent="0.25">
      <c r="B3" s="117"/>
      <c r="C3" s="117"/>
      <c r="D3" s="117"/>
      <c r="E3" s="117"/>
      <c r="F3" s="117"/>
      <c r="G3" s="117"/>
      <c r="H3" s="117"/>
      <c r="I3" s="117"/>
      <c r="J3" s="117"/>
      <c r="K3" s="117"/>
      <c r="L3" s="117"/>
      <c r="M3" s="112"/>
      <c r="N3" s="112"/>
      <c r="O3" s="112"/>
      <c r="P3" s="112"/>
      <c r="Q3" s="112"/>
      <c r="R3" s="112"/>
      <c r="S3" s="112"/>
      <c r="T3" s="112"/>
      <c r="U3" s="112"/>
      <c r="V3" s="112"/>
    </row>
    <row r="4" spans="1:23" ht="15.6" customHeight="1" x14ac:dyDescent="0.25">
      <c r="B4" s="118"/>
      <c r="C4" s="118"/>
      <c r="D4" s="118"/>
      <c r="E4" s="118"/>
      <c r="F4" s="118"/>
      <c r="G4" s="118"/>
      <c r="H4" s="118"/>
      <c r="I4" s="118"/>
      <c r="J4" s="118"/>
      <c r="K4" s="118"/>
      <c r="L4" s="118"/>
      <c r="M4" s="777" t="s">
        <v>1028</v>
      </c>
      <c r="N4" s="778"/>
      <c r="O4" s="779" t="str">
        <f>'Encoding Part 1'!Q7</f>
        <v>ROWENA S. GOLLA</v>
      </c>
      <c r="P4" s="779"/>
      <c r="Q4" s="780"/>
      <c r="R4" s="777" t="s">
        <v>1166</v>
      </c>
      <c r="S4" s="778"/>
      <c r="T4" s="779" t="str">
        <f>'Encoding Part 1'!Q68</f>
        <v>FRANCISCO P. MUYANA</v>
      </c>
      <c r="U4" s="779"/>
      <c r="V4" s="780"/>
    </row>
    <row r="5" spans="1:23" ht="15.6" customHeight="1" x14ac:dyDescent="0.25">
      <c r="B5" s="118"/>
      <c r="C5" s="118"/>
      <c r="D5" s="118"/>
      <c r="E5" s="118"/>
      <c r="F5" s="118"/>
      <c r="G5" s="118"/>
      <c r="H5" s="118"/>
      <c r="I5" s="118"/>
      <c r="J5" s="118"/>
      <c r="K5" s="118"/>
      <c r="L5" s="118"/>
      <c r="M5" s="754" t="s">
        <v>943</v>
      </c>
      <c r="N5" s="755"/>
      <c r="O5" s="775" t="str" cm="1">
        <f t="array" ref="O5">demographics[position]</f>
        <v>Teacher III</v>
      </c>
      <c r="P5" s="775"/>
      <c r="Q5" s="776"/>
      <c r="R5" s="754" t="s">
        <v>943</v>
      </c>
      <c r="S5" s="755"/>
      <c r="T5" s="775" t="str" cm="1">
        <f t="array" ref="T5">demographics[rater_position]</f>
        <v>Master Teacher I</v>
      </c>
      <c r="U5" s="775"/>
      <c r="V5" s="776"/>
    </row>
    <row r="6" spans="1:23" ht="15.6" customHeight="1" x14ac:dyDescent="0.25">
      <c r="B6" s="118"/>
      <c r="C6" s="118"/>
      <c r="D6" s="118"/>
      <c r="E6" s="118"/>
      <c r="F6" s="118"/>
      <c r="G6" s="118"/>
      <c r="H6" s="118"/>
      <c r="I6" s="118"/>
      <c r="J6" s="118"/>
      <c r="K6" s="118"/>
      <c r="L6" s="118"/>
      <c r="M6" s="754" t="s">
        <v>1036</v>
      </c>
      <c r="N6" s="755"/>
      <c r="O6" s="756" t="str" cm="1">
        <f t="array" ref="O6">school_attribs[school_name] &amp; " - " &amp; school_attribs[division_name]</f>
        <v>ANTIPOLO NATIONAL HIGH SCHOOL - Antipolo City</v>
      </c>
      <c r="P6" s="756"/>
      <c r="Q6" s="757"/>
      <c r="R6" s="754" t="s">
        <v>1167</v>
      </c>
      <c r="S6" s="755"/>
      <c r="T6" s="758" t="str" cm="1">
        <f t="array" ref="T6">demographics[date_of_review]</f>
        <v/>
      </c>
      <c r="U6" s="758"/>
      <c r="V6" s="759"/>
    </row>
    <row r="7" spans="1:23" ht="15.6" customHeight="1" x14ac:dyDescent="0.25">
      <c r="B7" s="118"/>
      <c r="C7" s="118"/>
      <c r="D7" s="118"/>
      <c r="E7" s="118"/>
      <c r="F7" s="118"/>
      <c r="G7" s="118"/>
      <c r="H7" s="118"/>
      <c r="I7" s="118"/>
      <c r="J7" s="118"/>
      <c r="K7" s="118"/>
      <c r="L7" s="118"/>
      <c r="M7" s="762" t="s">
        <v>1039</v>
      </c>
      <c r="N7" s="763"/>
      <c r="O7" s="764" t="str" cm="1">
        <f t="array" ref="O7">demographics[rating_period]</f>
        <v>SY 2023-2024</v>
      </c>
      <c r="P7" s="764"/>
      <c r="Q7" s="765"/>
      <c r="R7" s="766"/>
      <c r="S7" s="767"/>
      <c r="T7" s="767"/>
      <c r="U7" s="767"/>
      <c r="V7" s="768"/>
    </row>
    <row r="8" spans="1:23" ht="15.6" customHeight="1" x14ac:dyDescent="0.25">
      <c r="B8" s="118"/>
      <c r="C8" s="118"/>
      <c r="D8" s="118"/>
      <c r="E8" s="118"/>
      <c r="F8" s="118"/>
      <c r="G8" s="118"/>
      <c r="H8" s="118"/>
      <c r="I8" s="118"/>
      <c r="J8" s="118"/>
      <c r="K8" s="118"/>
      <c r="L8" s="118"/>
      <c r="M8" s="113"/>
      <c r="N8" s="113"/>
      <c r="O8" s="113"/>
      <c r="P8" s="113"/>
      <c r="Q8" s="113"/>
      <c r="R8" s="113"/>
      <c r="S8" s="113"/>
      <c r="T8" s="113"/>
      <c r="U8" s="113"/>
      <c r="V8" s="113"/>
    </row>
    <row r="9" spans="1:23" ht="15.6" customHeight="1" x14ac:dyDescent="0.25">
      <c r="B9" s="118"/>
      <c r="C9" s="118"/>
      <c r="D9" s="118"/>
      <c r="E9" s="118"/>
      <c r="F9" s="118"/>
      <c r="G9" s="118"/>
      <c r="H9" s="118"/>
      <c r="I9" s="118"/>
      <c r="J9" s="118"/>
      <c r="K9" s="118"/>
      <c r="L9" s="118"/>
      <c r="M9" s="769" t="s">
        <v>1235</v>
      </c>
      <c r="N9" s="769"/>
      <c r="O9" s="769"/>
      <c r="P9" s="769"/>
      <c r="Q9" s="769"/>
      <c r="R9" s="769"/>
      <c r="S9" s="769"/>
      <c r="T9" s="769"/>
      <c r="U9" s="769"/>
      <c r="V9" s="769"/>
    </row>
    <row r="10" spans="1:23" ht="18" customHeight="1" x14ac:dyDescent="0.25">
      <c r="M10" s="646" t="s">
        <v>918</v>
      </c>
      <c r="N10" s="646" t="s">
        <v>1173</v>
      </c>
      <c r="O10" s="646" t="s">
        <v>1054</v>
      </c>
      <c r="P10" s="771" t="s">
        <v>1057</v>
      </c>
      <c r="Q10" s="773" t="s">
        <v>1236</v>
      </c>
      <c r="R10" s="773"/>
      <c r="S10" s="773"/>
      <c r="T10" s="773"/>
      <c r="U10" s="640" t="s">
        <v>1061</v>
      </c>
      <c r="V10" s="760" t="s">
        <v>1062</v>
      </c>
    </row>
    <row r="11" spans="1:23" ht="18" customHeight="1" x14ac:dyDescent="0.25">
      <c r="B11" s="120" t="s">
        <v>914</v>
      </c>
      <c r="C11" s="123" t="s">
        <v>1177</v>
      </c>
      <c r="D11" s="121" t="s">
        <v>916</v>
      </c>
      <c r="E11" s="122" t="s">
        <v>1178</v>
      </c>
      <c r="F11" s="122" t="s">
        <v>917</v>
      </c>
      <c r="G11" s="122" t="s">
        <v>1237</v>
      </c>
      <c r="H11" s="122" t="s">
        <v>1180</v>
      </c>
      <c r="I11" s="122" t="s">
        <v>1238</v>
      </c>
      <c r="J11" s="127" t="s">
        <v>1012</v>
      </c>
      <c r="K11" s="127" t="s">
        <v>1073</v>
      </c>
      <c r="L11" s="127" t="s">
        <v>1014</v>
      </c>
      <c r="M11" s="646"/>
      <c r="N11" s="646"/>
      <c r="O11" s="770"/>
      <c r="P11" s="772"/>
      <c r="Q11" s="114" t="s">
        <v>1012</v>
      </c>
      <c r="R11" s="114" t="s">
        <v>1073</v>
      </c>
      <c r="S11" s="114" t="s">
        <v>1014</v>
      </c>
      <c r="T11" s="114" t="s">
        <v>1059</v>
      </c>
      <c r="U11" s="641"/>
      <c r="V11" s="761"/>
    </row>
    <row r="12" spans="1:23" ht="24" customHeight="1" x14ac:dyDescent="0.25">
      <c r="B12" s="119">
        <v>1</v>
      </c>
      <c r="C12" s="119" t="str">
        <f>'Encoding Part 1'!O22</f>
        <v>1.1.2</v>
      </c>
      <c r="D12" s="124">
        <f>'Encoding Part 1'!E22</f>
        <v>1</v>
      </c>
      <c r="E12" s="135" t="b">
        <f>'Encoding Part 1'!G22</f>
        <v>1</v>
      </c>
      <c r="F12" s="135" t="b">
        <f>'Encoding Part 1'!F22</f>
        <v>1</v>
      </c>
      <c r="G12" s="135" t="b">
        <f>COUNTIFS($D$12:$D12,$D12,$C$12:$C12,$C12,$E$12:$E12,TRUE)=1</f>
        <v>1</v>
      </c>
      <c r="H12" s="119">
        <f>COUNTIFS($D$12:$D12,D12,$E$12:$E12,TRUE)</f>
        <v>1</v>
      </c>
      <c r="I12" s="119">
        <f>COUNTIF($E$12:$E12,TRUE)</f>
        <v>1</v>
      </c>
      <c r="J12" s="135" t="b">
        <f>'Encoding Part 1'!H22</f>
        <v>1</v>
      </c>
      <c r="K12" s="135" t="b">
        <f>'Encoding Part 1'!J22</f>
        <v>1</v>
      </c>
      <c r="L12" s="135" t="b">
        <f>'Encoding Part 1'!K22</f>
        <v>0</v>
      </c>
      <c r="M12" s="128" t="str">
        <f>IF(AND($E12,$F12,NOT($D12="Plus Factor")),"KRA " &amp; $D12,IF($D12="Plus Factor",$D12,""))</f>
        <v>KRA 1</v>
      </c>
      <c r="N12" s="129">
        <f>IF(AND($E12,$F12),IF(AND(career_stage="P",teacher_type="R"),SUMIF(RPI[Domain],$D12,RPI[Weight]), IF(AND(career_stage="HP",teacher_type="R"),SUMIF(RHPI[Domain],$D12,RHPI[Weight]), IF(AND(career_stage="P",teacher_type="TB"),SUMIF(TBPI[Domain],$D12,TBPI[Weight]), IF(AND(career_stage="HP",teacher_type="TB"),SUMIF(TBHPI[Domain],$D12,TBHPI[Weight]),"")))),"")</f>
        <v>0.28000000000000003</v>
      </c>
      <c r="O12" s="115" t="str">
        <f>IF(AND($E12,$G12),"Objective " &amp; $I12,"")</f>
        <v>Objective 1</v>
      </c>
      <c r="P12" s="116">
        <f>'Encoding Part 1'!Q22</f>
        <v>7.0000000000000007E-2</v>
      </c>
      <c r="Q12" s="48">
        <f>IF('Encoding Part 1'!AB22="","",'Encoding Part 1'!AB22)</f>
        <v>5</v>
      </c>
      <c r="R12" s="48">
        <f>IF('Encoding Part 1'!AC22="","",'Encoding Part 1'!AC22)</f>
        <v>5</v>
      </c>
      <c r="S12" s="48" t="str">
        <f>IF('Encoding Part 1'!AD22="","",'Encoding Part 1'!AD22)</f>
        <v/>
      </c>
      <c r="T12" s="49">
        <f>IFERROR(AVERAGE($Q12:$S12),0)</f>
        <v>5</v>
      </c>
      <c r="U12" s="49">
        <f>IFERROR(ROUNDDOWN((T12*P12),3),"")</f>
        <v>0.35</v>
      </c>
      <c r="V12" s="126" t="str">
        <f t="shared" ref="V12:V51" si="0">IFERROR(VLOOKUP(ROUNDDOWN($T12,3),rating_desc_vlookup,2,TRUE),"")</f>
        <v>Outstanding</v>
      </c>
    </row>
    <row r="13" spans="1:23" ht="24" hidden="1" customHeight="1" x14ac:dyDescent="0.25">
      <c r="B13" s="119">
        <v>2</v>
      </c>
      <c r="C13" s="119" t="str">
        <f>'Encoding Part 1'!O23</f>
        <v>1.2.2</v>
      </c>
      <c r="D13" s="124">
        <f>'Encoding Part 1'!E23</f>
        <v>1</v>
      </c>
      <c r="E13" s="135" t="b">
        <f>'Encoding Part 1'!G23</f>
        <v>0</v>
      </c>
      <c r="F13" s="135" t="b">
        <f>'Encoding Part 1'!F23</f>
        <v>0</v>
      </c>
      <c r="G13" s="135" t="b">
        <f>COUNTIFS($D$12:$D13,$D13,$C$12:$C13,$C13,$E$12:$E13,TRUE)=1</f>
        <v>0</v>
      </c>
      <c r="H13" s="119">
        <f>COUNTIFS($D$12:$D13,D13,$E$12:$E13,TRUE)</f>
        <v>1</v>
      </c>
      <c r="I13" s="119">
        <f>COUNTIF($E$12:$E13,TRUE)</f>
        <v>1</v>
      </c>
      <c r="J13" s="135" t="b">
        <f>'Encoding Part 1'!H23</f>
        <v>0</v>
      </c>
      <c r="K13" s="135" t="b">
        <f>'Encoding Part 1'!J23</f>
        <v>0</v>
      </c>
      <c r="L13" s="135" t="b">
        <f>'Encoding Part 1'!K23</f>
        <v>0</v>
      </c>
      <c r="M13" s="128" t="str">
        <f t="shared" ref="M13:M51" si="1">IF(AND($E13,$F13,NOT($D13="Plus Factor")),"KRA " &amp; $D13,IF($D13="Plus Factor",$D13,""))</f>
        <v/>
      </c>
      <c r="N13" s="129" t="str">
        <f>IF(AND($E13,$F13),IF(AND(career_stage="P",teacher_type="R"),SUMIF(RPI[Domain],$D13,RPI[Weight]), IF(AND(career_stage="HP",teacher_type="R"),SUMIF(RHPI[Domain],$D13,RHPI[Weight]), IF(AND(career_stage="P",teacher_type="TB"),SUMIF(TBPI[Domain],$D13,TBPI[Weight]), IF(AND(career_stage="HP",teacher_type="TB"),SUMIF(TBHPI[Domain],$D13,TBHPI[Weight]),"")))),"")</f>
        <v/>
      </c>
      <c r="O13" s="115" t="str">
        <f t="shared" ref="O13:O51" si="2">IF(AND($E13,$G13),"Objective " &amp; $I13,"")</f>
        <v/>
      </c>
      <c r="P13" s="116">
        <f>'Encoding Part 1'!Q23</f>
        <v>0</v>
      </c>
      <c r="Q13" s="48" t="str">
        <f>IF('Encoding Part 1'!AB23="","",'Encoding Part 1'!AB23)</f>
        <v/>
      </c>
      <c r="R13" s="48" t="str">
        <f>IF('Encoding Part 1'!AC23="","",'Encoding Part 1'!AC23)</f>
        <v/>
      </c>
      <c r="S13" s="48" t="str">
        <f>IF('Encoding Part 1'!AD23="","",'Encoding Part 1'!AD23)</f>
        <v/>
      </c>
      <c r="T13" s="49">
        <f t="shared" ref="T13:T51" si="3">IFERROR(AVERAGE($Q13:$S13),0)</f>
        <v>0</v>
      </c>
      <c r="U13" s="49">
        <f t="shared" ref="U13:U51" si="4">IFERROR(ROUNDDOWN((T13*P13),3),"")</f>
        <v>0</v>
      </c>
      <c r="V13" s="126" t="str">
        <f t="shared" si="0"/>
        <v>Poor</v>
      </c>
    </row>
    <row r="14" spans="1:23" ht="24" hidden="1" customHeight="1" x14ac:dyDescent="0.25">
      <c r="B14" s="119">
        <v>3</v>
      </c>
      <c r="C14" s="119" t="str">
        <f>'Encoding Part 1'!O24</f>
        <v>1.3.2</v>
      </c>
      <c r="D14" s="124">
        <f>'Encoding Part 1'!E24</f>
        <v>1</v>
      </c>
      <c r="E14" s="135" t="b">
        <f>'Encoding Part 1'!G24</f>
        <v>0</v>
      </c>
      <c r="F14" s="135" t="b">
        <f>'Encoding Part 1'!F24</f>
        <v>0</v>
      </c>
      <c r="G14" s="135" t="b">
        <f>COUNTIFS($D$12:$D14,$D14,$C$12:$C14,$C14,$E$12:$E14,TRUE)=1</f>
        <v>0</v>
      </c>
      <c r="H14" s="119">
        <f>COUNTIFS($D$12:$D14,D14,$E$12:$E14,TRUE)</f>
        <v>1</v>
      </c>
      <c r="I14" s="119">
        <f>COUNTIF($E$12:$E14,TRUE)</f>
        <v>1</v>
      </c>
      <c r="J14" s="135" t="b">
        <f>'Encoding Part 1'!H24</f>
        <v>0</v>
      </c>
      <c r="K14" s="135" t="b">
        <f>'Encoding Part 1'!J24</f>
        <v>0</v>
      </c>
      <c r="L14" s="135" t="b">
        <f>'Encoding Part 1'!K24</f>
        <v>0</v>
      </c>
      <c r="M14" s="128" t="str">
        <f t="shared" si="1"/>
        <v/>
      </c>
      <c r="N14" s="129" t="str">
        <f>IF(AND($E14,$F14),IF(AND(career_stage="P",teacher_type="R"),SUMIF(RPI[Domain],$D14,RPI[Weight]), IF(AND(career_stage="HP",teacher_type="R"),SUMIF(RHPI[Domain],$D14,RHPI[Weight]), IF(AND(career_stage="P",teacher_type="TB"),SUMIF(TBPI[Domain],$D14,TBPI[Weight]), IF(AND(career_stage="HP",teacher_type="TB"),SUMIF(TBHPI[Domain],$D14,TBHPI[Weight]),"")))),"")</f>
        <v/>
      </c>
      <c r="O14" s="115" t="str">
        <f t="shared" si="2"/>
        <v/>
      </c>
      <c r="P14" s="116">
        <f>'Encoding Part 1'!Q24</f>
        <v>0</v>
      </c>
      <c r="Q14" s="48" t="str">
        <f>IF('Encoding Part 1'!AB24="","",'Encoding Part 1'!AB24)</f>
        <v/>
      </c>
      <c r="R14" s="48" t="str">
        <f>IF('Encoding Part 1'!AC24="","",'Encoding Part 1'!AC24)</f>
        <v/>
      </c>
      <c r="S14" s="48" t="str">
        <f>IF('Encoding Part 1'!AD24="","",'Encoding Part 1'!AD24)</f>
        <v/>
      </c>
      <c r="T14" s="49">
        <f t="shared" si="3"/>
        <v>0</v>
      </c>
      <c r="U14" s="49">
        <f t="shared" si="4"/>
        <v>0</v>
      </c>
      <c r="V14" s="126" t="str">
        <f t="shared" si="0"/>
        <v>Poor</v>
      </c>
    </row>
    <row r="15" spans="1:23" ht="24" customHeight="1" x14ac:dyDescent="0.25">
      <c r="B15" s="119">
        <v>4</v>
      </c>
      <c r="C15" s="119" t="str">
        <f>'Encoding Part 1'!O25</f>
        <v>1.4.2</v>
      </c>
      <c r="D15" s="124">
        <f>'Encoding Part 1'!E25</f>
        <v>1</v>
      </c>
      <c r="E15" s="135" t="b">
        <f>'Encoding Part 1'!G25</f>
        <v>1</v>
      </c>
      <c r="F15" s="135" t="b">
        <f>'Encoding Part 1'!F25</f>
        <v>0</v>
      </c>
      <c r="G15" s="135" t="b">
        <f>COUNTIFS($D$12:$D15,$D15,$C$12:$C15,$C15,$E$12:$E15,TRUE)=1</f>
        <v>1</v>
      </c>
      <c r="H15" s="119">
        <f>COUNTIFS($D$12:$D15,D15,$E$12:$E15,TRUE)</f>
        <v>2</v>
      </c>
      <c r="I15" s="119">
        <f>COUNTIF($E$12:$E15,TRUE)</f>
        <v>2</v>
      </c>
      <c r="J15" s="135" t="b">
        <f>'Encoding Part 1'!H25</f>
        <v>1</v>
      </c>
      <c r="K15" s="135" t="b">
        <f>'Encoding Part 1'!J25</f>
        <v>1</v>
      </c>
      <c r="L15" s="135" t="b">
        <f>'Encoding Part 1'!K25</f>
        <v>0</v>
      </c>
      <c r="M15" s="128" t="str">
        <f t="shared" si="1"/>
        <v/>
      </c>
      <c r="N15" s="129" t="str">
        <f>IF(AND($E15,$F15),IF(AND(career_stage="P",teacher_type="R"),SUMIF(RPI[Domain],$D15,RPI[Weight]), IF(AND(career_stage="HP",teacher_type="R"),SUMIF(RHPI[Domain],$D15,RHPI[Weight]), IF(AND(career_stage="P",teacher_type="TB"),SUMIF(TBPI[Domain],$D15,TBPI[Weight]), IF(AND(career_stage="HP",teacher_type="TB"),SUMIF(TBHPI[Domain],$D15,TBHPI[Weight]),"")))),"")</f>
        <v/>
      </c>
      <c r="O15" s="115" t="str">
        <f t="shared" si="2"/>
        <v>Objective 2</v>
      </c>
      <c r="P15" s="116">
        <f>'Encoding Part 1'!Q25</f>
        <v>7.0000000000000007E-2</v>
      </c>
      <c r="Q15" s="48">
        <f>IF('Encoding Part 1'!AB25="","",'Encoding Part 1'!AB25)</f>
        <v>5</v>
      </c>
      <c r="R15" s="48">
        <f>IF('Encoding Part 1'!AC25="","",'Encoding Part 1'!AC25)</f>
        <v>5</v>
      </c>
      <c r="S15" s="48" t="str">
        <f>IF('Encoding Part 1'!AD25="","",'Encoding Part 1'!AD25)</f>
        <v/>
      </c>
      <c r="T15" s="49">
        <f t="shared" si="3"/>
        <v>5</v>
      </c>
      <c r="U15" s="49">
        <f t="shared" si="4"/>
        <v>0.35</v>
      </c>
      <c r="V15" s="126" t="str">
        <f t="shared" si="0"/>
        <v>Outstanding</v>
      </c>
    </row>
    <row r="16" spans="1:23" ht="24" customHeight="1" x14ac:dyDescent="0.25">
      <c r="B16" s="119">
        <v>5</v>
      </c>
      <c r="C16" s="119" t="str">
        <f>'Encoding Part 1'!O26</f>
        <v>1.5.2</v>
      </c>
      <c r="D16" s="124">
        <f>'Encoding Part 1'!E26</f>
        <v>1</v>
      </c>
      <c r="E16" s="135" t="b">
        <f>'Encoding Part 1'!G26</f>
        <v>1</v>
      </c>
      <c r="F16" s="135" t="b">
        <f>'Encoding Part 1'!F26</f>
        <v>0</v>
      </c>
      <c r="G16" s="135" t="b">
        <f>COUNTIFS($D$12:$D16,$D16,$C$12:$C16,$C16,$E$12:$E16,TRUE)=1</f>
        <v>1</v>
      </c>
      <c r="H16" s="119">
        <f>COUNTIFS($D$12:$D16,D16,$E$12:$E16,TRUE)</f>
        <v>3</v>
      </c>
      <c r="I16" s="119">
        <f>COUNTIF($E$12:$E16,TRUE)</f>
        <v>3</v>
      </c>
      <c r="J16" s="135" t="b">
        <f>'Encoding Part 1'!H26</f>
        <v>1</v>
      </c>
      <c r="K16" s="135" t="b">
        <f>'Encoding Part 1'!J26</f>
        <v>1</v>
      </c>
      <c r="L16" s="135" t="b">
        <f>'Encoding Part 1'!K26</f>
        <v>0</v>
      </c>
      <c r="M16" s="128" t="str">
        <f t="shared" si="1"/>
        <v/>
      </c>
      <c r="N16" s="129" t="str">
        <f>IF(AND($E16,$F16),IF(AND(career_stage="P",teacher_type="R"),SUMIF(RPI[Domain],$D16,RPI[Weight]), IF(AND(career_stage="HP",teacher_type="R"),SUMIF(RHPI[Domain],$D16,RHPI[Weight]), IF(AND(career_stage="P",teacher_type="TB"),SUMIF(TBPI[Domain],$D16,TBPI[Weight]), IF(AND(career_stage="HP",teacher_type="TB"),SUMIF(TBHPI[Domain],$D16,TBHPI[Weight]),"")))),"")</f>
        <v/>
      </c>
      <c r="O16" s="115" t="str">
        <f t="shared" si="2"/>
        <v>Objective 3</v>
      </c>
      <c r="P16" s="116">
        <f>'Encoding Part 1'!Q26</f>
        <v>7.0000000000000007E-2</v>
      </c>
      <c r="Q16" s="48">
        <f>IF('Encoding Part 1'!AB26="","",'Encoding Part 1'!AB26)</f>
        <v>4</v>
      </c>
      <c r="R16" s="48">
        <f>IF('Encoding Part 1'!AC26="","",'Encoding Part 1'!AC26)</f>
        <v>5</v>
      </c>
      <c r="S16" s="48" t="str">
        <f>IF('Encoding Part 1'!AD26="","",'Encoding Part 1'!AD26)</f>
        <v/>
      </c>
      <c r="T16" s="49">
        <f t="shared" si="3"/>
        <v>4.5</v>
      </c>
      <c r="U16" s="49">
        <f t="shared" si="4"/>
        <v>0.315</v>
      </c>
      <c r="V16" s="126" t="str">
        <f t="shared" si="0"/>
        <v>Outstanding</v>
      </c>
    </row>
    <row r="17" spans="2:22" ht="24" customHeight="1" x14ac:dyDescent="0.25">
      <c r="B17" s="119">
        <v>6</v>
      </c>
      <c r="C17" s="119" t="str">
        <f>'Encoding Part 1'!O27</f>
        <v>1.6.2</v>
      </c>
      <c r="D17" s="124">
        <f>'Encoding Part 1'!E27</f>
        <v>1</v>
      </c>
      <c r="E17" s="135" t="b">
        <f>'Encoding Part 1'!G27</f>
        <v>1</v>
      </c>
      <c r="F17" s="135" t="b">
        <f>'Encoding Part 1'!F27</f>
        <v>0</v>
      </c>
      <c r="G17" s="135" t="b">
        <f>COUNTIFS($D$12:$D17,$D17,$C$12:$C17,$C17,$E$12:$E17,TRUE)=1</f>
        <v>1</v>
      </c>
      <c r="H17" s="119">
        <f>COUNTIFS($D$12:$D17,D17,$E$12:$E17,TRUE)</f>
        <v>4</v>
      </c>
      <c r="I17" s="119">
        <f>COUNTIF($E$12:$E17,TRUE)</f>
        <v>4</v>
      </c>
      <c r="J17" s="135" t="b">
        <f>'Encoding Part 1'!H27</f>
        <v>1</v>
      </c>
      <c r="K17" s="135" t="b">
        <f>'Encoding Part 1'!J27</f>
        <v>1</v>
      </c>
      <c r="L17" s="135" t="b">
        <f>'Encoding Part 1'!K27</f>
        <v>0</v>
      </c>
      <c r="M17" s="128" t="str">
        <f t="shared" si="1"/>
        <v/>
      </c>
      <c r="N17" s="129" t="str">
        <f>IF(AND($E17,$F17),IF(AND(career_stage="P",teacher_type="R"),SUMIF(RPI[Domain],$D17,RPI[Weight]), IF(AND(career_stage="HP",teacher_type="R"),SUMIF(RHPI[Domain],$D17,RHPI[Weight]), IF(AND(career_stage="P",teacher_type="TB"),SUMIF(TBPI[Domain],$D17,TBPI[Weight]), IF(AND(career_stage="HP",teacher_type="TB"),SUMIF(TBHPI[Domain],$D17,TBHPI[Weight]),"")))),"")</f>
        <v/>
      </c>
      <c r="O17" s="115" t="str">
        <f t="shared" si="2"/>
        <v>Objective 4</v>
      </c>
      <c r="P17" s="116">
        <f>'Encoding Part 1'!Q27</f>
        <v>7.0000000000000007E-2</v>
      </c>
      <c r="Q17" s="48">
        <f>IF('Encoding Part 1'!AB27="","",'Encoding Part 1'!AB27)</f>
        <v>5</v>
      </c>
      <c r="R17" s="48">
        <f>IF('Encoding Part 1'!AC27="","",'Encoding Part 1'!AC27)</f>
        <v>5</v>
      </c>
      <c r="S17" s="48" t="str">
        <f>IF('Encoding Part 1'!AD27="","",'Encoding Part 1'!AD27)</f>
        <v/>
      </c>
      <c r="T17" s="49">
        <f t="shared" si="3"/>
        <v>5</v>
      </c>
      <c r="U17" s="49">
        <f t="shared" si="4"/>
        <v>0.35</v>
      </c>
      <c r="V17" s="126" t="str">
        <f t="shared" si="0"/>
        <v>Outstanding</v>
      </c>
    </row>
    <row r="18" spans="2:22" ht="24" hidden="1" customHeight="1" x14ac:dyDescent="0.25">
      <c r="B18" s="119">
        <v>7</v>
      </c>
      <c r="C18" s="119" t="str">
        <f>'Encoding Part 1'!O28</f>
        <v>1.7.2</v>
      </c>
      <c r="D18" s="124">
        <f>'Encoding Part 1'!E28</f>
        <v>1</v>
      </c>
      <c r="E18" s="135" t="b">
        <f>'Encoding Part 1'!G28</f>
        <v>0</v>
      </c>
      <c r="F18" s="135" t="b">
        <f>'Encoding Part 1'!F28</f>
        <v>0</v>
      </c>
      <c r="G18" s="135" t="b">
        <f>COUNTIFS($D$12:$D18,$D18,$C$12:$C18,$C18,$E$12:$E18,TRUE)=1</f>
        <v>0</v>
      </c>
      <c r="H18" s="119">
        <f>COUNTIFS($D$12:$D18,D18,$E$12:$E18,TRUE)</f>
        <v>4</v>
      </c>
      <c r="I18" s="119">
        <f>COUNTIF($E$12:$E18,TRUE)</f>
        <v>4</v>
      </c>
      <c r="J18" s="135" t="b">
        <f>'Encoding Part 1'!H28</f>
        <v>0</v>
      </c>
      <c r="K18" s="135" t="b">
        <f>'Encoding Part 1'!J28</f>
        <v>0</v>
      </c>
      <c r="L18" s="135" t="b">
        <f>'Encoding Part 1'!K28</f>
        <v>0</v>
      </c>
      <c r="M18" s="128" t="str">
        <f t="shared" si="1"/>
        <v/>
      </c>
      <c r="N18" s="129" t="str">
        <f>IF(AND($E18,$F18),IF(AND(career_stage="P",teacher_type="R"),SUMIF(RPI[Domain],$D18,RPI[Weight]), IF(AND(career_stage="HP",teacher_type="R"),SUMIF(RHPI[Domain],$D18,RHPI[Weight]), IF(AND(career_stage="P",teacher_type="TB"),SUMIF(TBPI[Domain],$D18,TBPI[Weight]), IF(AND(career_stage="HP",teacher_type="TB"),SUMIF(TBHPI[Domain],$D18,TBHPI[Weight]),"")))),"")</f>
        <v/>
      </c>
      <c r="O18" s="115" t="str">
        <f t="shared" si="2"/>
        <v/>
      </c>
      <c r="P18" s="116">
        <f>'Encoding Part 1'!Q28</f>
        <v>0</v>
      </c>
      <c r="Q18" s="48" t="str">
        <f>IF('Encoding Part 1'!AB28="","",'Encoding Part 1'!AB28)</f>
        <v/>
      </c>
      <c r="R18" s="48" t="str">
        <f>IF('Encoding Part 1'!AC28="","",'Encoding Part 1'!AC28)</f>
        <v/>
      </c>
      <c r="S18" s="48" t="str">
        <f>IF('Encoding Part 1'!AD28="","",'Encoding Part 1'!AD28)</f>
        <v/>
      </c>
      <c r="T18" s="49">
        <f t="shared" si="3"/>
        <v>0</v>
      </c>
      <c r="U18" s="49">
        <f t="shared" si="4"/>
        <v>0</v>
      </c>
      <c r="V18" s="126" t="str">
        <f t="shared" si="0"/>
        <v>Poor</v>
      </c>
    </row>
    <row r="19" spans="2:22" ht="24" customHeight="1" x14ac:dyDescent="0.25">
      <c r="B19" s="119">
        <v>8</v>
      </c>
      <c r="C19" s="119" t="str">
        <f>'Encoding Part 1'!O29</f>
        <v>2.1.2</v>
      </c>
      <c r="D19" s="124">
        <f>'Encoding Part 1'!E29</f>
        <v>2</v>
      </c>
      <c r="E19" s="135" t="b">
        <f>'Encoding Part 1'!G29</f>
        <v>1</v>
      </c>
      <c r="F19" s="135" t="b">
        <f>'Encoding Part 1'!F29</f>
        <v>1</v>
      </c>
      <c r="G19" s="135" t="b">
        <f>COUNTIFS($D$12:$D19,$D19,$C$12:$C19,$C19,$E$12:$E19,TRUE)=1</f>
        <v>1</v>
      </c>
      <c r="H19" s="119">
        <f>COUNTIFS($D$12:$D19,D19,$E$12:$E19,TRUE)</f>
        <v>1</v>
      </c>
      <c r="I19" s="119">
        <f>COUNTIF($E$12:$E19,TRUE)</f>
        <v>5</v>
      </c>
      <c r="J19" s="135" t="b">
        <f>'Encoding Part 1'!H29</f>
        <v>1</v>
      </c>
      <c r="K19" s="135" t="b">
        <f>'Encoding Part 1'!J29</f>
        <v>1</v>
      </c>
      <c r="L19" s="135" t="b">
        <f>'Encoding Part 1'!K29</f>
        <v>0</v>
      </c>
      <c r="M19" s="128" t="str">
        <f t="shared" si="1"/>
        <v>KRA 2</v>
      </c>
      <c r="N19" s="129">
        <f>IF(AND($E19,$F19),IF(AND(career_stage="P",teacher_type="R"),SUMIF(RPI[Domain],$D19,RPI[Weight]), IF(AND(career_stage="HP",teacher_type="R"),SUMIF(RHPI[Domain],$D19,RHPI[Weight]), IF(AND(career_stage="P",teacher_type="TB"),SUMIF(TBPI[Domain],$D19,TBPI[Weight]), IF(AND(career_stage="HP",teacher_type="TB"),SUMIF(TBHPI[Domain],$D19,TBHPI[Weight]),"")))),"")</f>
        <v>0.28000000000000003</v>
      </c>
      <c r="O19" s="115" t="str">
        <f t="shared" si="2"/>
        <v>Objective 5</v>
      </c>
      <c r="P19" s="116">
        <f>'Encoding Part 1'!Q29</f>
        <v>7.0000000000000007E-2</v>
      </c>
      <c r="Q19" s="48">
        <f>IF('Encoding Part 1'!AB29="","",'Encoding Part 1'!AB29)</f>
        <v>5</v>
      </c>
      <c r="R19" s="48">
        <f>IF('Encoding Part 1'!AC29="","",'Encoding Part 1'!AC29)</f>
        <v>5</v>
      </c>
      <c r="S19" s="48" t="str">
        <f>IF('Encoding Part 1'!AD29="","",'Encoding Part 1'!AD29)</f>
        <v/>
      </c>
      <c r="T19" s="49">
        <f t="shared" si="3"/>
        <v>5</v>
      </c>
      <c r="U19" s="49">
        <f t="shared" si="4"/>
        <v>0.35</v>
      </c>
      <c r="V19" s="126" t="str">
        <f t="shared" si="0"/>
        <v>Outstanding</v>
      </c>
    </row>
    <row r="20" spans="2:22" ht="24" customHeight="1" x14ac:dyDescent="0.25">
      <c r="B20" s="119">
        <v>9</v>
      </c>
      <c r="C20" s="119" t="str">
        <f>'Encoding Part 1'!O30</f>
        <v>2.2.2</v>
      </c>
      <c r="D20" s="124">
        <f>'Encoding Part 1'!E30</f>
        <v>2</v>
      </c>
      <c r="E20" s="135" t="b">
        <f>'Encoding Part 1'!G30</f>
        <v>1</v>
      </c>
      <c r="F20" s="135" t="b">
        <f>'Encoding Part 1'!F30</f>
        <v>0</v>
      </c>
      <c r="G20" s="135" t="b">
        <f>COUNTIFS($D$12:$D20,$D20,$C$12:$C20,$C20,$E$12:$E20,TRUE)=1</f>
        <v>1</v>
      </c>
      <c r="H20" s="119">
        <f>COUNTIFS($D$12:$D20,D20,$E$12:$E20,TRUE)</f>
        <v>2</v>
      </c>
      <c r="I20" s="119">
        <f>COUNTIF($E$12:$E20,TRUE)</f>
        <v>6</v>
      </c>
      <c r="J20" s="135" t="b">
        <f>'Encoding Part 1'!H30</f>
        <v>1</v>
      </c>
      <c r="K20" s="135" t="b">
        <f>'Encoding Part 1'!J30</f>
        <v>1</v>
      </c>
      <c r="L20" s="135" t="b">
        <f>'Encoding Part 1'!K30</f>
        <v>0</v>
      </c>
      <c r="M20" s="128" t="str">
        <f t="shared" si="1"/>
        <v/>
      </c>
      <c r="N20" s="129" t="str">
        <f>IF(AND($E20,$F20),IF(AND(career_stage="P",teacher_type="R"),SUMIF(RPI[Domain],$D20,RPI[Weight]), IF(AND(career_stage="HP",teacher_type="R"),SUMIF(RHPI[Domain],$D20,RHPI[Weight]), IF(AND(career_stage="P",teacher_type="TB"),SUMIF(TBPI[Domain],$D20,TBPI[Weight]), IF(AND(career_stage="HP",teacher_type="TB"),SUMIF(TBHPI[Domain],$D20,TBHPI[Weight]),"")))),"")</f>
        <v/>
      </c>
      <c r="O20" s="115" t="str">
        <f t="shared" si="2"/>
        <v>Objective 6</v>
      </c>
      <c r="P20" s="116">
        <f>'Encoding Part 1'!Q30</f>
        <v>7.0000000000000007E-2</v>
      </c>
      <c r="Q20" s="48">
        <f>IF('Encoding Part 1'!AB30="","",'Encoding Part 1'!AB30)</f>
        <v>5</v>
      </c>
      <c r="R20" s="48">
        <f>IF('Encoding Part 1'!AC30="","",'Encoding Part 1'!AC30)</f>
        <v>5</v>
      </c>
      <c r="S20" s="48" t="str">
        <f>IF('Encoding Part 1'!AD30="","",'Encoding Part 1'!AD30)</f>
        <v/>
      </c>
      <c r="T20" s="49">
        <f t="shared" si="3"/>
        <v>5</v>
      </c>
      <c r="U20" s="49">
        <f t="shared" si="4"/>
        <v>0.35</v>
      </c>
      <c r="V20" s="126" t="str">
        <f t="shared" si="0"/>
        <v>Outstanding</v>
      </c>
    </row>
    <row r="21" spans="2:22" ht="24" hidden="1" customHeight="1" x14ac:dyDescent="0.25">
      <c r="B21" s="119">
        <v>10</v>
      </c>
      <c r="C21" s="119" t="str">
        <f>'Encoding Part 1'!O31</f>
        <v>2.3.2</v>
      </c>
      <c r="D21" s="124">
        <f>'Encoding Part 1'!E31</f>
        <v>2</v>
      </c>
      <c r="E21" s="135" t="b">
        <f>'Encoding Part 1'!G31</f>
        <v>0</v>
      </c>
      <c r="F21" s="135" t="b">
        <f>'Encoding Part 1'!F31</f>
        <v>0</v>
      </c>
      <c r="G21" s="135" t="b">
        <f>COUNTIFS($D$12:$D21,$D21,$C$12:$C21,$C21,$E$12:$E21,TRUE)=1</f>
        <v>0</v>
      </c>
      <c r="H21" s="119">
        <f>COUNTIFS($D$12:$D21,D21,$E$12:$E21,TRUE)</f>
        <v>2</v>
      </c>
      <c r="I21" s="119">
        <f>COUNTIF($E$12:$E21,TRUE)</f>
        <v>6</v>
      </c>
      <c r="J21" s="135" t="b">
        <f>'Encoding Part 1'!H31</f>
        <v>0</v>
      </c>
      <c r="K21" s="135" t="b">
        <f>'Encoding Part 1'!J31</f>
        <v>0</v>
      </c>
      <c r="L21" s="135" t="b">
        <f>'Encoding Part 1'!K31</f>
        <v>0</v>
      </c>
      <c r="M21" s="128" t="str">
        <f t="shared" si="1"/>
        <v/>
      </c>
      <c r="N21" s="129" t="str">
        <f>IF(AND($E21,$F21),IF(AND(career_stage="P",teacher_type="R"),SUMIF(RPI[Domain],$D21,RPI[Weight]), IF(AND(career_stage="HP",teacher_type="R"),SUMIF(RHPI[Domain],$D21,RHPI[Weight]), IF(AND(career_stage="P",teacher_type="TB"),SUMIF(TBPI[Domain],$D21,TBPI[Weight]), IF(AND(career_stage="HP",teacher_type="TB"),SUMIF(TBHPI[Domain],$D21,TBHPI[Weight]),"")))),"")</f>
        <v/>
      </c>
      <c r="O21" s="115" t="str">
        <f t="shared" si="2"/>
        <v/>
      </c>
      <c r="P21" s="116">
        <f>'Encoding Part 1'!Q31</f>
        <v>0</v>
      </c>
      <c r="Q21" s="48" t="str">
        <f>IF('Encoding Part 1'!AB31="","",'Encoding Part 1'!AB31)</f>
        <v/>
      </c>
      <c r="R21" s="48" t="str">
        <f>IF('Encoding Part 1'!AC31="","",'Encoding Part 1'!AC31)</f>
        <v/>
      </c>
      <c r="S21" s="48" t="str">
        <f>IF('Encoding Part 1'!AD31="","",'Encoding Part 1'!AD31)</f>
        <v/>
      </c>
      <c r="T21" s="49">
        <f t="shared" si="3"/>
        <v>0</v>
      </c>
      <c r="U21" s="49">
        <f t="shared" si="4"/>
        <v>0</v>
      </c>
      <c r="V21" s="126" t="str">
        <f t="shared" si="0"/>
        <v>Poor</v>
      </c>
    </row>
    <row r="22" spans="2:22" ht="24" hidden="1" customHeight="1" x14ac:dyDescent="0.25">
      <c r="B22" s="119">
        <v>11</v>
      </c>
      <c r="C22" s="119" t="str">
        <f>'Encoding Part 1'!O32</f>
        <v>2.4.2</v>
      </c>
      <c r="D22" s="124">
        <f>'Encoding Part 1'!E32</f>
        <v>2</v>
      </c>
      <c r="E22" s="135" t="b">
        <f>'Encoding Part 1'!G32</f>
        <v>0</v>
      </c>
      <c r="F22" s="135" t="b">
        <f>'Encoding Part 1'!F32</f>
        <v>0</v>
      </c>
      <c r="G22" s="135" t="b">
        <f>COUNTIFS($D$12:$D22,$D22,$C$12:$C22,$C22,$E$12:$E22,TRUE)=1</f>
        <v>0</v>
      </c>
      <c r="H22" s="119">
        <f>COUNTIFS($D$12:$D22,D22,$E$12:$E22,TRUE)</f>
        <v>2</v>
      </c>
      <c r="I22" s="119">
        <f>COUNTIF($E$12:$E22,TRUE)</f>
        <v>6</v>
      </c>
      <c r="J22" s="135" t="b">
        <f>'Encoding Part 1'!H32</f>
        <v>0</v>
      </c>
      <c r="K22" s="135" t="b">
        <f>'Encoding Part 1'!J32</f>
        <v>0</v>
      </c>
      <c r="L22" s="135" t="b">
        <f>'Encoding Part 1'!K32</f>
        <v>0</v>
      </c>
      <c r="M22" s="128" t="str">
        <f t="shared" si="1"/>
        <v/>
      </c>
      <c r="N22" s="129" t="str">
        <f>IF(AND($E22,$F22),IF(AND(career_stage="P",teacher_type="R"),SUMIF(RPI[Domain],$D22,RPI[Weight]), IF(AND(career_stage="HP",teacher_type="R"),SUMIF(RHPI[Domain],$D22,RHPI[Weight]), IF(AND(career_stage="P",teacher_type="TB"),SUMIF(TBPI[Domain],$D22,TBPI[Weight]), IF(AND(career_stage="HP",teacher_type="TB"),SUMIF(TBHPI[Domain],$D22,TBHPI[Weight]),"")))),"")</f>
        <v/>
      </c>
      <c r="O22" s="115" t="str">
        <f t="shared" si="2"/>
        <v/>
      </c>
      <c r="P22" s="116">
        <f>'Encoding Part 1'!Q32</f>
        <v>0</v>
      </c>
      <c r="Q22" s="48" t="str">
        <f>IF('Encoding Part 1'!AB32="","",'Encoding Part 1'!AB32)</f>
        <v/>
      </c>
      <c r="R22" s="48" t="str">
        <f>IF('Encoding Part 1'!AC32="","",'Encoding Part 1'!AC32)</f>
        <v/>
      </c>
      <c r="S22" s="48" t="str">
        <f>IF('Encoding Part 1'!AD32="","",'Encoding Part 1'!AD32)</f>
        <v/>
      </c>
      <c r="T22" s="49">
        <f t="shared" si="3"/>
        <v>0</v>
      </c>
      <c r="U22" s="49">
        <f t="shared" si="4"/>
        <v>0</v>
      </c>
      <c r="V22" s="126" t="str">
        <f t="shared" si="0"/>
        <v>Poor</v>
      </c>
    </row>
    <row r="23" spans="2:22" ht="24" hidden="1" customHeight="1" x14ac:dyDescent="0.25">
      <c r="B23" s="119">
        <v>12</v>
      </c>
      <c r="C23" s="119" t="str">
        <f>'Encoding Part 1'!O33</f>
        <v>2.5.2</v>
      </c>
      <c r="D23" s="124">
        <f>'Encoding Part 1'!E33</f>
        <v>2</v>
      </c>
      <c r="E23" s="135" t="b">
        <f>'Encoding Part 1'!G33</f>
        <v>0</v>
      </c>
      <c r="F23" s="135" t="b">
        <f>'Encoding Part 1'!F33</f>
        <v>0</v>
      </c>
      <c r="G23" s="135" t="b">
        <f>COUNTIFS($D$12:$D23,$D23,$C$12:$C23,$C23,$E$12:$E23,TRUE)=1</f>
        <v>0</v>
      </c>
      <c r="H23" s="119">
        <f>COUNTIFS($D$12:$D23,D23,$E$12:$E23,TRUE)</f>
        <v>2</v>
      </c>
      <c r="I23" s="119">
        <f>COUNTIF($E$12:$E23,TRUE)</f>
        <v>6</v>
      </c>
      <c r="J23" s="135" t="b">
        <f>'Encoding Part 1'!H33</f>
        <v>0</v>
      </c>
      <c r="K23" s="135" t="b">
        <f>'Encoding Part 1'!J33</f>
        <v>0</v>
      </c>
      <c r="L23" s="135" t="b">
        <f>'Encoding Part 1'!K33</f>
        <v>0</v>
      </c>
      <c r="M23" s="128" t="str">
        <f t="shared" si="1"/>
        <v/>
      </c>
      <c r="N23" s="129" t="str">
        <f>IF(AND($E23,$F23),IF(AND(career_stage="P",teacher_type="R"),SUMIF(RPI[Domain],$D23,RPI[Weight]), IF(AND(career_stage="HP",teacher_type="R"),SUMIF(RHPI[Domain],$D23,RHPI[Weight]), IF(AND(career_stage="P",teacher_type="TB"),SUMIF(TBPI[Domain],$D23,TBPI[Weight]), IF(AND(career_stage="HP",teacher_type="TB"),SUMIF(TBHPI[Domain],$D23,TBHPI[Weight]),"")))),"")</f>
        <v/>
      </c>
      <c r="O23" s="115" t="str">
        <f t="shared" si="2"/>
        <v/>
      </c>
      <c r="P23" s="116">
        <f>'Encoding Part 1'!Q33</f>
        <v>0</v>
      </c>
      <c r="Q23" s="48" t="str">
        <f>IF('Encoding Part 1'!AB33="","",'Encoding Part 1'!AB33)</f>
        <v/>
      </c>
      <c r="R23" s="48" t="str">
        <f>IF('Encoding Part 1'!AC33="","",'Encoding Part 1'!AC33)</f>
        <v/>
      </c>
      <c r="S23" s="48" t="str">
        <f>IF('Encoding Part 1'!AD33="","",'Encoding Part 1'!AD33)</f>
        <v/>
      </c>
      <c r="T23" s="49">
        <f t="shared" si="3"/>
        <v>0</v>
      </c>
      <c r="U23" s="49">
        <f t="shared" si="4"/>
        <v>0</v>
      </c>
      <c r="V23" s="126" t="str">
        <f t="shared" si="0"/>
        <v>Poor</v>
      </c>
    </row>
    <row r="24" spans="2:22" ht="24" hidden="1" customHeight="1" x14ac:dyDescent="0.25">
      <c r="B24" s="119">
        <v>13</v>
      </c>
      <c r="C24" s="119" t="str">
        <f>'Encoding Part 1'!O34</f>
        <v>2.6.2</v>
      </c>
      <c r="D24" s="124">
        <f>'Encoding Part 1'!E34</f>
        <v>2</v>
      </c>
      <c r="E24" s="135" t="b">
        <f>'Encoding Part 1'!G34</f>
        <v>0</v>
      </c>
      <c r="F24" s="135" t="b">
        <f>'Encoding Part 1'!F34</f>
        <v>0</v>
      </c>
      <c r="G24" s="135" t="b">
        <f>COUNTIFS($D$12:$D24,$D24,$C$12:$C24,$C24,$E$12:$E24,TRUE)=1</f>
        <v>0</v>
      </c>
      <c r="H24" s="119">
        <f>COUNTIFS($D$12:$D24,D24,$E$12:$E24,TRUE)</f>
        <v>2</v>
      </c>
      <c r="I24" s="119">
        <f>COUNTIF($E$12:$E24,TRUE)</f>
        <v>6</v>
      </c>
      <c r="J24" s="135" t="b">
        <f>'Encoding Part 1'!H34</f>
        <v>0</v>
      </c>
      <c r="K24" s="135" t="b">
        <f>'Encoding Part 1'!J34</f>
        <v>0</v>
      </c>
      <c r="L24" s="135" t="b">
        <f>'Encoding Part 1'!K34</f>
        <v>0</v>
      </c>
      <c r="M24" s="128" t="str">
        <f t="shared" si="1"/>
        <v/>
      </c>
      <c r="N24" s="129" t="str">
        <f>IF(AND($E24,$F24),IF(AND(career_stage="P",teacher_type="R"),SUMIF(RPI[Domain],$D24,RPI[Weight]), IF(AND(career_stage="HP",teacher_type="R"),SUMIF(RHPI[Domain],$D24,RHPI[Weight]), IF(AND(career_stage="P",teacher_type="TB"),SUMIF(TBPI[Domain],$D24,TBPI[Weight]), IF(AND(career_stage="HP",teacher_type="TB"),SUMIF(TBHPI[Domain],$D24,TBHPI[Weight]),"")))),"")</f>
        <v/>
      </c>
      <c r="O24" s="115" t="str">
        <f t="shared" si="2"/>
        <v/>
      </c>
      <c r="P24" s="116">
        <f>'Encoding Part 1'!Q34</f>
        <v>0</v>
      </c>
      <c r="Q24" s="48" t="str">
        <f>IF('Encoding Part 1'!AB34="","",'Encoding Part 1'!AB34)</f>
        <v/>
      </c>
      <c r="R24" s="48" t="str">
        <f>IF('Encoding Part 1'!AC34="","",'Encoding Part 1'!AC34)</f>
        <v/>
      </c>
      <c r="S24" s="48" t="str">
        <f>IF('Encoding Part 1'!AD34="","",'Encoding Part 1'!AD34)</f>
        <v/>
      </c>
      <c r="T24" s="49">
        <f t="shared" si="3"/>
        <v>0</v>
      </c>
      <c r="U24" s="49">
        <f t="shared" si="4"/>
        <v>0</v>
      </c>
      <c r="V24" s="126" t="str">
        <f t="shared" si="0"/>
        <v>Poor</v>
      </c>
    </row>
    <row r="25" spans="2:22" ht="24" hidden="1" customHeight="1" x14ac:dyDescent="0.25">
      <c r="B25" s="119">
        <v>14</v>
      </c>
      <c r="C25" s="119" t="str">
        <f>'Encoding Part 1'!O35</f>
        <v>3.1.2</v>
      </c>
      <c r="D25" s="124">
        <f>'Encoding Part 1'!E35</f>
        <v>2</v>
      </c>
      <c r="E25" s="135" t="b">
        <f>'Encoding Part 1'!G35</f>
        <v>0</v>
      </c>
      <c r="F25" s="135" t="b">
        <f>'Encoding Part 1'!F35</f>
        <v>0</v>
      </c>
      <c r="G25" s="135" t="b">
        <f>COUNTIFS($D$12:$D25,$D25,$C$12:$C25,$C25,$E$12:$E25,TRUE)=1</f>
        <v>0</v>
      </c>
      <c r="H25" s="119">
        <f>COUNTIFS($D$12:$D25,D25,$E$12:$E25,TRUE)</f>
        <v>2</v>
      </c>
      <c r="I25" s="119">
        <f>COUNTIF($E$12:$E25,TRUE)</f>
        <v>6</v>
      </c>
      <c r="J25" s="135" t="b">
        <f>'Encoding Part 1'!H35</f>
        <v>0</v>
      </c>
      <c r="K25" s="135" t="b">
        <f>'Encoding Part 1'!J35</f>
        <v>0</v>
      </c>
      <c r="L25" s="135" t="b">
        <f>'Encoding Part 1'!K35</f>
        <v>0</v>
      </c>
      <c r="M25" s="128" t="str">
        <f t="shared" si="1"/>
        <v/>
      </c>
      <c r="N25" s="129" t="str">
        <f>IF(AND($E25,$F25),IF(AND(career_stage="P",teacher_type="R"),SUMIF(RPI[Domain],$D25,RPI[Weight]), IF(AND(career_stage="HP",teacher_type="R"),SUMIF(RHPI[Domain],$D25,RHPI[Weight]), IF(AND(career_stage="P",teacher_type="TB"),SUMIF(TBPI[Domain],$D25,TBPI[Weight]), IF(AND(career_stage="HP",teacher_type="TB"),SUMIF(TBHPI[Domain],$D25,TBHPI[Weight]),"")))),"")</f>
        <v/>
      </c>
      <c r="O25" s="115" t="str">
        <f t="shared" si="2"/>
        <v/>
      </c>
      <c r="P25" s="116">
        <f>'Encoding Part 1'!Q35</f>
        <v>0</v>
      </c>
      <c r="Q25" s="48" t="str">
        <f>IF('Encoding Part 1'!AB35="","",'Encoding Part 1'!AB35)</f>
        <v/>
      </c>
      <c r="R25" s="48" t="str">
        <f>IF('Encoding Part 1'!AC35="","",'Encoding Part 1'!AC35)</f>
        <v/>
      </c>
      <c r="S25" s="48" t="str">
        <f>IF('Encoding Part 1'!AD35="","",'Encoding Part 1'!AD35)</f>
        <v/>
      </c>
      <c r="T25" s="49">
        <f t="shared" si="3"/>
        <v>0</v>
      </c>
      <c r="U25" s="49">
        <f t="shared" si="4"/>
        <v>0</v>
      </c>
      <c r="V25" s="126" t="str">
        <f t="shared" si="0"/>
        <v>Poor</v>
      </c>
    </row>
    <row r="26" spans="2:22" ht="24" customHeight="1" x14ac:dyDescent="0.25">
      <c r="B26" s="119">
        <v>15</v>
      </c>
      <c r="C26" s="119" t="str">
        <f>'Encoding Part 1'!O36</f>
        <v>3.2.2</v>
      </c>
      <c r="D26" s="124">
        <f>'Encoding Part 1'!E36</f>
        <v>2</v>
      </c>
      <c r="E26" s="135" t="b">
        <f>'Encoding Part 1'!G36</f>
        <v>1</v>
      </c>
      <c r="F26" s="135" t="b">
        <f>'Encoding Part 1'!F36</f>
        <v>0</v>
      </c>
      <c r="G26" s="135" t="b">
        <f>COUNTIFS($D$12:$D26,$D26,$C$12:$C26,$C26,$E$12:$E26,TRUE)=1</f>
        <v>1</v>
      </c>
      <c r="H26" s="119">
        <f>COUNTIFS($D$12:$D26,D26,$E$12:$E26,TRUE)</f>
        <v>3</v>
      </c>
      <c r="I26" s="119">
        <f>COUNTIF($E$12:$E26,TRUE)</f>
        <v>7</v>
      </c>
      <c r="J26" s="135" t="b">
        <f>'Encoding Part 1'!H36</f>
        <v>1</v>
      </c>
      <c r="K26" s="135" t="b">
        <f>'Encoding Part 1'!J36</f>
        <v>1</v>
      </c>
      <c r="L26" s="135" t="b">
        <f>'Encoding Part 1'!K36</f>
        <v>0</v>
      </c>
      <c r="M26" s="128" t="str">
        <f t="shared" si="1"/>
        <v/>
      </c>
      <c r="N26" s="129" t="str">
        <f>IF(AND($E26,$F26),IF(AND(career_stage="P",teacher_type="R"),SUMIF(RPI[Domain],$D26,RPI[Weight]), IF(AND(career_stage="HP",teacher_type="R"),SUMIF(RHPI[Domain],$D26,RHPI[Weight]), IF(AND(career_stage="P",teacher_type="TB"),SUMIF(TBPI[Domain],$D26,TBPI[Weight]), IF(AND(career_stage="HP",teacher_type="TB"),SUMIF(TBHPI[Domain],$D26,TBHPI[Weight]),"")))),"")</f>
        <v/>
      </c>
      <c r="O26" s="115" t="str">
        <f t="shared" si="2"/>
        <v>Objective 7</v>
      </c>
      <c r="P26" s="116">
        <f>'Encoding Part 1'!Q36</f>
        <v>7.0000000000000007E-2</v>
      </c>
      <c r="Q26" s="48">
        <f>IF('Encoding Part 1'!AB36="","",'Encoding Part 1'!AB36)</f>
        <v>5</v>
      </c>
      <c r="R26" s="48">
        <f>IF('Encoding Part 1'!AC36="","",'Encoding Part 1'!AC36)</f>
        <v>5</v>
      </c>
      <c r="S26" s="48" t="str">
        <f>IF('Encoding Part 1'!AD36="","",'Encoding Part 1'!AD36)</f>
        <v/>
      </c>
      <c r="T26" s="49">
        <f t="shared" si="3"/>
        <v>5</v>
      </c>
      <c r="U26" s="49">
        <f t="shared" si="4"/>
        <v>0.35</v>
      </c>
      <c r="V26" s="126" t="str">
        <f t="shared" si="0"/>
        <v>Outstanding</v>
      </c>
    </row>
    <row r="27" spans="2:22" ht="24" hidden="1" customHeight="1" x14ac:dyDescent="0.25">
      <c r="B27" s="119">
        <v>16</v>
      </c>
      <c r="C27" s="119" t="str">
        <f>'Encoding Part 1'!O37</f>
        <v>3.3.2</v>
      </c>
      <c r="D27" s="124">
        <f>'Encoding Part 1'!E37</f>
        <v>2</v>
      </c>
      <c r="E27" s="135" t="b">
        <f>'Encoding Part 1'!G37</f>
        <v>0</v>
      </c>
      <c r="F27" s="135" t="b">
        <f>'Encoding Part 1'!F37</f>
        <v>0</v>
      </c>
      <c r="G27" s="135" t="b">
        <f>COUNTIFS($D$12:$D27,$D27,$C$12:$C27,$C27,$E$12:$E27,TRUE)=1</f>
        <v>0</v>
      </c>
      <c r="H27" s="119">
        <f>COUNTIFS($D$12:$D27,D27,$E$12:$E27,TRUE)</f>
        <v>3</v>
      </c>
      <c r="I27" s="119">
        <f>COUNTIF($E$12:$E27,TRUE)</f>
        <v>7</v>
      </c>
      <c r="J27" s="135" t="b">
        <f>'Encoding Part 1'!H37</f>
        <v>0</v>
      </c>
      <c r="K27" s="135" t="b">
        <f>'Encoding Part 1'!J37</f>
        <v>0</v>
      </c>
      <c r="L27" s="135" t="b">
        <f>'Encoding Part 1'!K37</f>
        <v>0</v>
      </c>
      <c r="M27" s="128" t="str">
        <f t="shared" si="1"/>
        <v/>
      </c>
      <c r="N27" s="129" t="str">
        <f>IF(AND($E27,$F27),IF(AND(career_stage="P",teacher_type="R"),SUMIF(RPI[Domain],$D27,RPI[Weight]), IF(AND(career_stage="HP",teacher_type="R"),SUMIF(RHPI[Domain],$D27,RHPI[Weight]), IF(AND(career_stage="P",teacher_type="TB"),SUMIF(TBPI[Domain],$D27,TBPI[Weight]), IF(AND(career_stage="HP",teacher_type="TB"),SUMIF(TBHPI[Domain],$D27,TBHPI[Weight]),"")))),"")</f>
        <v/>
      </c>
      <c r="O27" s="115" t="str">
        <f t="shared" si="2"/>
        <v/>
      </c>
      <c r="P27" s="116">
        <f>'Encoding Part 1'!Q37</f>
        <v>0</v>
      </c>
      <c r="Q27" s="48" t="str">
        <f>IF('Encoding Part 1'!AB37="","",'Encoding Part 1'!AB37)</f>
        <v/>
      </c>
      <c r="R27" s="48" t="str">
        <f>IF('Encoding Part 1'!AC37="","",'Encoding Part 1'!AC37)</f>
        <v/>
      </c>
      <c r="S27" s="48" t="str">
        <f>IF('Encoding Part 1'!AD37="","",'Encoding Part 1'!AD37)</f>
        <v/>
      </c>
      <c r="T27" s="49">
        <f t="shared" si="3"/>
        <v>0</v>
      </c>
      <c r="U27" s="49">
        <f t="shared" si="4"/>
        <v>0</v>
      </c>
      <c r="V27" s="126" t="str">
        <f t="shared" si="0"/>
        <v>Poor</v>
      </c>
    </row>
    <row r="28" spans="2:22" ht="24" hidden="1" customHeight="1" x14ac:dyDescent="0.25">
      <c r="B28" s="119">
        <v>17</v>
      </c>
      <c r="C28" s="119" t="str">
        <f>'Encoding Part 1'!O38</f>
        <v>3.4.2</v>
      </c>
      <c r="D28" s="124">
        <f>'Encoding Part 1'!E38</f>
        <v>2</v>
      </c>
      <c r="E28" s="135" t="b">
        <f>'Encoding Part 1'!G38</f>
        <v>0</v>
      </c>
      <c r="F28" s="135" t="b">
        <f>'Encoding Part 1'!F38</f>
        <v>0</v>
      </c>
      <c r="G28" s="135" t="b">
        <f>COUNTIFS($D$12:$D28,$D28,$C$12:$C28,$C28,$E$12:$E28,TRUE)=1</f>
        <v>0</v>
      </c>
      <c r="H28" s="119">
        <f>COUNTIFS($D$12:$D28,D28,$E$12:$E28,TRUE)</f>
        <v>3</v>
      </c>
      <c r="I28" s="119">
        <f>COUNTIF($E$12:$E28,TRUE)</f>
        <v>7</v>
      </c>
      <c r="J28" s="135" t="b">
        <f>'Encoding Part 1'!H38</f>
        <v>0</v>
      </c>
      <c r="K28" s="135" t="b">
        <f>'Encoding Part 1'!J38</f>
        <v>0</v>
      </c>
      <c r="L28" s="135" t="b">
        <f>'Encoding Part 1'!K38</f>
        <v>0</v>
      </c>
      <c r="M28" s="128" t="str">
        <f t="shared" si="1"/>
        <v/>
      </c>
      <c r="N28" s="129" t="str">
        <f>IF(AND($E28,$F28),IF(AND(career_stage="P",teacher_type="R"),SUMIF(RPI[Domain],$D28,RPI[Weight]), IF(AND(career_stage="HP",teacher_type="R"),SUMIF(RHPI[Domain],$D28,RHPI[Weight]), IF(AND(career_stage="P",teacher_type="TB"),SUMIF(TBPI[Domain],$D28,TBPI[Weight]), IF(AND(career_stage="HP",teacher_type="TB"),SUMIF(TBHPI[Domain],$D28,TBHPI[Weight]),"")))),"")</f>
        <v/>
      </c>
      <c r="O28" s="115" t="str">
        <f t="shared" si="2"/>
        <v/>
      </c>
      <c r="P28" s="116">
        <f>'Encoding Part 1'!Q38</f>
        <v>0</v>
      </c>
      <c r="Q28" s="48" t="str">
        <f>IF('Encoding Part 1'!AB38="","",'Encoding Part 1'!AB38)</f>
        <v/>
      </c>
      <c r="R28" s="48" t="str">
        <f>IF('Encoding Part 1'!AC38="","",'Encoding Part 1'!AC38)</f>
        <v/>
      </c>
      <c r="S28" s="48" t="str">
        <f>IF('Encoding Part 1'!AD38="","",'Encoding Part 1'!AD38)</f>
        <v/>
      </c>
      <c r="T28" s="49">
        <f t="shared" si="3"/>
        <v>0</v>
      </c>
      <c r="U28" s="49">
        <f t="shared" si="4"/>
        <v>0</v>
      </c>
      <c r="V28" s="126" t="str">
        <f t="shared" si="0"/>
        <v>Poor</v>
      </c>
    </row>
    <row r="29" spans="2:22" ht="24" customHeight="1" x14ac:dyDescent="0.25">
      <c r="B29" s="119">
        <v>18</v>
      </c>
      <c r="C29" s="119" t="str">
        <f>'Encoding Part 1'!O39</f>
        <v>3.5.2</v>
      </c>
      <c r="D29" s="124">
        <f>'Encoding Part 1'!E39</f>
        <v>2</v>
      </c>
      <c r="E29" s="135" t="b">
        <f>'Encoding Part 1'!G39</f>
        <v>1</v>
      </c>
      <c r="F29" s="135" t="b">
        <f>'Encoding Part 1'!F39</f>
        <v>0</v>
      </c>
      <c r="G29" s="135" t="b">
        <f>COUNTIFS($D$12:$D29,$D29,$C$12:$C29,$C29,$E$12:$E29,TRUE)=1</f>
        <v>1</v>
      </c>
      <c r="H29" s="119">
        <f>COUNTIFS($D$12:$D29,D29,$E$12:$E29,TRUE)</f>
        <v>4</v>
      </c>
      <c r="I29" s="119">
        <f>COUNTIF($E$12:$E29,TRUE)</f>
        <v>8</v>
      </c>
      <c r="J29" s="135" t="b">
        <f>'Encoding Part 1'!H39</f>
        <v>1</v>
      </c>
      <c r="K29" s="135" t="b">
        <f>'Encoding Part 1'!J39</f>
        <v>1</v>
      </c>
      <c r="L29" s="135" t="b">
        <f>'Encoding Part 1'!K39</f>
        <v>0</v>
      </c>
      <c r="M29" s="128" t="str">
        <f t="shared" si="1"/>
        <v/>
      </c>
      <c r="N29" s="129" t="str">
        <f>IF(AND($E29,$F29),IF(AND(career_stage="P",teacher_type="R"),SUMIF(RPI[Domain],$D29,RPI[Weight]), IF(AND(career_stage="HP",teacher_type="R"),SUMIF(RHPI[Domain],$D29,RHPI[Weight]), IF(AND(career_stage="P",teacher_type="TB"),SUMIF(TBPI[Domain],$D29,TBPI[Weight]), IF(AND(career_stage="HP",teacher_type="TB"),SUMIF(TBHPI[Domain],$D29,TBHPI[Weight]),"")))),"")</f>
        <v/>
      </c>
      <c r="O29" s="115" t="str">
        <f t="shared" si="2"/>
        <v>Objective 8</v>
      </c>
      <c r="P29" s="116">
        <f>'Encoding Part 1'!Q39</f>
        <v>7.0000000000000007E-2</v>
      </c>
      <c r="Q29" s="48">
        <f>IF('Encoding Part 1'!AB39="","",'Encoding Part 1'!AB39)</f>
        <v>5</v>
      </c>
      <c r="R29" s="48">
        <f>IF('Encoding Part 1'!AC39="","",'Encoding Part 1'!AC39)</f>
        <v>5</v>
      </c>
      <c r="S29" s="48" t="str">
        <f>IF('Encoding Part 1'!AD39="","",'Encoding Part 1'!AD39)</f>
        <v/>
      </c>
      <c r="T29" s="49">
        <f t="shared" si="3"/>
        <v>5</v>
      </c>
      <c r="U29" s="49">
        <f t="shared" si="4"/>
        <v>0.35</v>
      </c>
      <c r="V29" s="126" t="str">
        <f t="shared" si="0"/>
        <v>Outstanding</v>
      </c>
    </row>
    <row r="30" spans="2:22" ht="24" hidden="1" customHeight="1" x14ac:dyDescent="0.25">
      <c r="B30" s="119">
        <v>19</v>
      </c>
      <c r="C30" s="119" t="str">
        <f>'Encoding Part 1'!O40</f>
        <v>4.1.2</v>
      </c>
      <c r="D30" s="124">
        <f>'Encoding Part 1'!E40</f>
        <v>3</v>
      </c>
      <c r="E30" s="135" t="b">
        <f>'Encoding Part 1'!G40</f>
        <v>0</v>
      </c>
      <c r="F30" s="135" t="b">
        <f>'Encoding Part 1'!F40</f>
        <v>0</v>
      </c>
      <c r="G30" s="135" t="b">
        <f>COUNTIFS($D$12:$D30,$D30,$C$12:$C30,$C30,$E$12:$E30,TRUE)=1</f>
        <v>0</v>
      </c>
      <c r="H30" s="119">
        <f>COUNTIFS($D$12:$D30,D30,$E$12:$E30,TRUE)</f>
        <v>0</v>
      </c>
      <c r="I30" s="119">
        <f>COUNTIF($E$12:$E30,TRUE)</f>
        <v>8</v>
      </c>
      <c r="J30" s="135" t="b">
        <f>'Encoding Part 1'!H40</f>
        <v>0</v>
      </c>
      <c r="K30" s="135" t="b">
        <f>'Encoding Part 1'!J40</f>
        <v>0</v>
      </c>
      <c r="L30" s="135" t="b">
        <f>'Encoding Part 1'!K40</f>
        <v>0</v>
      </c>
      <c r="M30" s="128" t="str">
        <f t="shared" si="1"/>
        <v/>
      </c>
      <c r="N30" s="129" t="str">
        <f>IF(AND($E30,$F30),IF(AND(career_stage="P",teacher_type="R"),SUMIF(RPI[Domain],$D30,RPI[Weight]), IF(AND(career_stage="HP",teacher_type="R"),SUMIF(RHPI[Domain],$D30,RHPI[Weight]), IF(AND(career_stage="P",teacher_type="TB"),SUMIF(TBPI[Domain],$D30,TBPI[Weight]), IF(AND(career_stage="HP",teacher_type="TB"),SUMIF(TBHPI[Domain],$D30,TBHPI[Weight]),"")))),"")</f>
        <v/>
      </c>
      <c r="O30" s="115" t="str">
        <f t="shared" si="2"/>
        <v/>
      </c>
      <c r="P30" s="116">
        <f>'Encoding Part 1'!Q40</f>
        <v>0</v>
      </c>
      <c r="Q30" s="48" t="str">
        <f>IF('Encoding Part 1'!AB40="","",'Encoding Part 1'!AB40)</f>
        <v/>
      </c>
      <c r="R30" s="48" t="str">
        <f>IF('Encoding Part 1'!AC40="","",'Encoding Part 1'!AC40)</f>
        <v/>
      </c>
      <c r="S30" s="48" t="str">
        <f>IF('Encoding Part 1'!AD40="","",'Encoding Part 1'!AD40)</f>
        <v/>
      </c>
      <c r="T30" s="49">
        <f t="shared" si="3"/>
        <v>0</v>
      </c>
      <c r="U30" s="49">
        <f t="shared" si="4"/>
        <v>0</v>
      </c>
      <c r="V30" s="126" t="str">
        <f t="shared" si="0"/>
        <v>Poor</v>
      </c>
    </row>
    <row r="31" spans="2:22" ht="24" customHeight="1" x14ac:dyDescent="0.25">
      <c r="B31" s="119">
        <v>20</v>
      </c>
      <c r="C31" s="119" t="str">
        <f>'Encoding Part 1'!O41</f>
        <v>4.2.2</v>
      </c>
      <c r="D31" s="124">
        <f>'Encoding Part 1'!E41</f>
        <v>3</v>
      </c>
      <c r="E31" s="135" t="b">
        <f>'Encoding Part 1'!G41</f>
        <v>1</v>
      </c>
      <c r="F31" s="135" t="b">
        <f>'Encoding Part 1'!F41</f>
        <v>1</v>
      </c>
      <c r="G31" s="135" t="b">
        <f>COUNTIFS($D$12:$D31,$D31,$C$12:$C31,$C31,$E$12:$E31,TRUE)=1</f>
        <v>1</v>
      </c>
      <c r="H31" s="119">
        <f>COUNTIFS($D$12:$D31,D31,$E$12:$E31,TRUE)</f>
        <v>1</v>
      </c>
      <c r="I31" s="119">
        <f>COUNTIF($E$12:$E31,TRUE)</f>
        <v>9</v>
      </c>
      <c r="J31" s="135" t="b">
        <f>'Encoding Part 1'!H41</f>
        <v>1</v>
      </c>
      <c r="K31" s="135" t="b">
        <f>'Encoding Part 1'!J41</f>
        <v>1</v>
      </c>
      <c r="L31" s="135" t="b">
        <f>'Encoding Part 1'!K41</f>
        <v>0</v>
      </c>
      <c r="M31" s="128" t="str">
        <f t="shared" si="1"/>
        <v>KRA 3</v>
      </c>
      <c r="N31" s="129">
        <f>IF(AND($E31,$F31),IF(AND(career_stage="P",teacher_type="R"),SUMIF(RPI[Domain],$D31,RPI[Weight]), IF(AND(career_stage="HP",teacher_type="R"),SUMIF(RHPI[Domain],$D31,RHPI[Weight]), IF(AND(career_stage="P",teacher_type="TB"),SUMIF(TBPI[Domain],$D31,TBPI[Weight]), IF(AND(career_stage="HP",teacher_type="TB"),SUMIF(TBHPI[Domain],$D31,TBHPI[Weight]),"")))),"")</f>
        <v>0.21000000000000002</v>
      </c>
      <c r="O31" s="115" t="str">
        <f t="shared" si="2"/>
        <v>Objective 9</v>
      </c>
      <c r="P31" s="116">
        <f>'Encoding Part 1'!Q41</f>
        <v>7.0000000000000007E-2</v>
      </c>
      <c r="Q31" s="48">
        <f>IF('Encoding Part 1'!AB41="","",'Encoding Part 1'!AB41)</f>
        <v>4</v>
      </c>
      <c r="R31" s="48">
        <f>IF('Encoding Part 1'!AC41="","",'Encoding Part 1'!AC41)</f>
        <v>4</v>
      </c>
      <c r="S31" s="48" t="str">
        <f>IF('Encoding Part 1'!AD41="","",'Encoding Part 1'!AD41)</f>
        <v/>
      </c>
      <c r="T31" s="49">
        <f t="shared" si="3"/>
        <v>4</v>
      </c>
      <c r="U31" s="49">
        <f t="shared" si="4"/>
        <v>0.28000000000000003</v>
      </c>
      <c r="V31" s="126" t="str">
        <f t="shared" si="0"/>
        <v>Very Satisfactory</v>
      </c>
    </row>
    <row r="32" spans="2:22" ht="24" hidden="1" customHeight="1" x14ac:dyDescent="0.25">
      <c r="B32" s="119">
        <v>21</v>
      </c>
      <c r="C32" s="119" t="str">
        <f>'Encoding Part 1'!O42</f>
        <v>4.3.2</v>
      </c>
      <c r="D32" s="124">
        <f>'Encoding Part 1'!E42</f>
        <v>3</v>
      </c>
      <c r="E32" s="135" t="b">
        <f>'Encoding Part 1'!G42</f>
        <v>0</v>
      </c>
      <c r="F32" s="135" t="b">
        <f>'Encoding Part 1'!F42</f>
        <v>0</v>
      </c>
      <c r="G32" s="135" t="b">
        <f>COUNTIFS($D$12:$D32,$D32,$C$12:$C32,$C32,$E$12:$E32,TRUE)=1</f>
        <v>0</v>
      </c>
      <c r="H32" s="119">
        <f>COUNTIFS($D$12:$D32,D32,$E$12:$E32,TRUE)</f>
        <v>1</v>
      </c>
      <c r="I32" s="119">
        <f>COUNTIF($E$12:$E32,TRUE)</f>
        <v>9</v>
      </c>
      <c r="J32" s="135" t="b">
        <f>'Encoding Part 1'!H42</f>
        <v>0</v>
      </c>
      <c r="K32" s="135" t="b">
        <f>'Encoding Part 1'!J42</f>
        <v>0</v>
      </c>
      <c r="L32" s="135" t="b">
        <f>'Encoding Part 1'!K42</f>
        <v>0</v>
      </c>
      <c r="M32" s="128" t="str">
        <f t="shared" si="1"/>
        <v/>
      </c>
      <c r="N32" s="129" t="str">
        <f>IF(AND($E32,$F32),IF(AND(career_stage="P",teacher_type="R"),SUMIF(RPI[Domain],$D32,RPI[Weight]), IF(AND(career_stage="HP",teacher_type="R"),SUMIF(RHPI[Domain],$D32,RHPI[Weight]), IF(AND(career_stage="P",teacher_type="TB"),SUMIF(TBPI[Domain],$D32,TBPI[Weight]), IF(AND(career_stage="HP",teacher_type="TB"),SUMIF(TBHPI[Domain],$D32,TBHPI[Weight]),"")))),"")</f>
        <v/>
      </c>
      <c r="O32" s="115" t="str">
        <f t="shared" si="2"/>
        <v/>
      </c>
      <c r="P32" s="116">
        <f>'Encoding Part 1'!Q42</f>
        <v>0</v>
      </c>
      <c r="Q32" s="48" t="str">
        <f>IF('Encoding Part 1'!AB42="","",'Encoding Part 1'!AB42)</f>
        <v/>
      </c>
      <c r="R32" s="48" t="str">
        <f>IF('Encoding Part 1'!AC42="","",'Encoding Part 1'!AC42)</f>
        <v/>
      </c>
      <c r="S32" s="48" t="str">
        <f>IF('Encoding Part 1'!AD42="","",'Encoding Part 1'!AD42)</f>
        <v/>
      </c>
      <c r="T32" s="49">
        <f t="shared" si="3"/>
        <v>0</v>
      </c>
      <c r="U32" s="49">
        <f t="shared" si="4"/>
        <v>0</v>
      </c>
      <c r="V32" s="126" t="str">
        <f t="shared" si="0"/>
        <v>Poor</v>
      </c>
    </row>
    <row r="33" spans="2:22" ht="24" hidden="1" customHeight="1" x14ac:dyDescent="0.25">
      <c r="B33" s="119">
        <v>22</v>
      </c>
      <c r="C33" s="119" t="str">
        <f>'Encoding Part 1'!O43</f>
        <v>4.4.2</v>
      </c>
      <c r="D33" s="124">
        <f>'Encoding Part 1'!E43</f>
        <v>3</v>
      </c>
      <c r="E33" s="135" t="b">
        <f>'Encoding Part 1'!G43</f>
        <v>0</v>
      </c>
      <c r="F33" s="135" t="b">
        <f>'Encoding Part 1'!F43</f>
        <v>0</v>
      </c>
      <c r="G33" s="135" t="b">
        <f>COUNTIFS($D$12:$D33,$D33,$C$12:$C33,$C33,$E$12:$E33,TRUE)=1</f>
        <v>0</v>
      </c>
      <c r="H33" s="119">
        <f>COUNTIFS($D$12:$D33,D33,$E$12:$E33,TRUE)</f>
        <v>1</v>
      </c>
      <c r="I33" s="119">
        <f>COUNTIF($E$12:$E33,TRUE)</f>
        <v>9</v>
      </c>
      <c r="J33" s="135" t="b">
        <f>'Encoding Part 1'!H43</f>
        <v>0</v>
      </c>
      <c r="K33" s="135" t="b">
        <f>'Encoding Part 1'!J43</f>
        <v>0</v>
      </c>
      <c r="L33" s="135" t="b">
        <f>'Encoding Part 1'!K43</f>
        <v>0</v>
      </c>
      <c r="M33" s="128" t="str">
        <f t="shared" si="1"/>
        <v/>
      </c>
      <c r="N33" s="129" t="str">
        <f>IF(AND($E33,$F33),IF(AND(career_stage="P",teacher_type="R"),SUMIF(RPI[Domain],$D33,RPI[Weight]), IF(AND(career_stage="HP",teacher_type="R"),SUMIF(RHPI[Domain],$D33,RHPI[Weight]), IF(AND(career_stage="P",teacher_type="TB"),SUMIF(TBPI[Domain],$D33,TBPI[Weight]), IF(AND(career_stage="HP",teacher_type="TB"),SUMIF(TBHPI[Domain],$D33,TBHPI[Weight]),"")))),"")</f>
        <v/>
      </c>
      <c r="O33" s="115" t="str">
        <f t="shared" si="2"/>
        <v/>
      </c>
      <c r="P33" s="116">
        <f>'Encoding Part 1'!Q43</f>
        <v>0</v>
      </c>
      <c r="Q33" s="48" t="str">
        <f>IF('Encoding Part 1'!AB43="","",'Encoding Part 1'!AB43)</f>
        <v/>
      </c>
      <c r="R33" s="48" t="str">
        <f>IF('Encoding Part 1'!AC43="","",'Encoding Part 1'!AC43)</f>
        <v/>
      </c>
      <c r="S33" s="48" t="str">
        <f>IF('Encoding Part 1'!AD43="","",'Encoding Part 1'!AD43)</f>
        <v/>
      </c>
      <c r="T33" s="49">
        <f t="shared" si="3"/>
        <v>0</v>
      </c>
      <c r="U33" s="49">
        <f t="shared" si="4"/>
        <v>0</v>
      </c>
      <c r="V33" s="126" t="str">
        <f t="shared" si="0"/>
        <v>Poor</v>
      </c>
    </row>
    <row r="34" spans="2:22" ht="24" hidden="1" customHeight="1" x14ac:dyDescent="0.25">
      <c r="B34" s="119">
        <v>23</v>
      </c>
      <c r="C34" s="119" t="str">
        <f>'Encoding Part 1'!O44</f>
        <v>4.5.2</v>
      </c>
      <c r="D34" s="124">
        <f>'Encoding Part 1'!E44</f>
        <v>3</v>
      </c>
      <c r="E34" s="135" t="b">
        <f>'Encoding Part 1'!G44</f>
        <v>0</v>
      </c>
      <c r="F34" s="135" t="b">
        <f>'Encoding Part 1'!F44</f>
        <v>0</v>
      </c>
      <c r="G34" s="135" t="b">
        <f>COUNTIFS($D$12:$D34,$D34,$C$12:$C34,$C34,$E$12:$E34,TRUE)=1</f>
        <v>0</v>
      </c>
      <c r="H34" s="119">
        <f>COUNTIFS($D$12:$D34,D34,$E$12:$E34,TRUE)</f>
        <v>1</v>
      </c>
      <c r="I34" s="119">
        <f>COUNTIF($E$12:$E34,TRUE)</f>
        <v>9</v>
      </c>
      <c r="J34" s="135" t="b">
        <f>'Encoding Part 1'!H44</f>
        <v>0</v>
      </c>
      <c r="K34" s="135" t="b">
        <f>'Encoding Part 1'!J44</f>
        <v>0</v>
      </c>
      <c r="L34" s="135" t="b">
        <f>'Encoding Part 1'!K44</f>
        <v>0</v>
      </c>
      <c r="M34" s="128" t="str">
        <f t="shared" si="1"/>
        <v/>
      </c>
      <c r="N34" s="129" t="str">
        <f>IF(AND($E34,$F34),IF(AND(career_stage="P",teacher_type="R"),SUMIF(RPI[Domain],$D34,RPI[Weight]), IF(AND(career_stage="HP",teacher_type="R"),SUMIF(RHPI[Domain],$D34,RHPI[Weight]), IF(AND(career_stage="P",teacher_type="TB"),SUMIF(TBPI[Domain],$D34,TBPI[Weight]), IF(AND(career_stage="HP",teacher_type="TB"),SUMIF(TBHPI[Domain],$D34,TBHPI[Weight]),"")))),"")</f>
        <v/>
      </c>
      <c r="O34" s="115" t="str">
        <f t="shared" si="2"/>
        <v/>
      </c>
      <c r="P34" s="116">
        <f>'Encoding Part 1'!Q44</f>
        <v>0</v>
      </c>
      <c r="Q34" s="48" t="str">
        <f>IF('Encoding Part 1'!AB44="","",'Encoding Part 1'!AB44)</f>
        <v/>
      </c>
      <c r="R34" s="48" t="str">
        <f>IF('Encoding Part 1'!AC44="","",'Encoding Part 1'!AC44)</f>
        <v/>
      </c>
      <c r="S34" s="48" t="str">
        <f>IF('Encoding Part 1'!AD44="","",'Encoding Part 1'!AD44)</f>
        <v/>
      </c>
      <c r="T34" s="49">
        <f t="shared" si="3"/>
        <v>0</v>
      </c>
      <c r="U34" s="49">
        <f t="shared" si="4"/>
        <v>0</v>
      </c>
      <c r="V34" s="126" t="str">
        <f t="shared" si="0"/>
        <v>Poor</v>
      </c>
    </row>
    <row r="35" spans="2:22" ht="24" hidden="1" customHeight="1" x14ac:dyDescent="0.25">
      <c r="B35" s="119">
        <v>24</v>
      </c>
      <c r="C35" s="119" t="str">
        <f>'Encoding Part 1'!O45</f>
        <v>5.1.2</v>
      </c>
      <c r="D35" s="124">
        <f>'Encoding Part 1'!E45</f>
        <v>4</v>
      </c>
      <c r="E35" s="135" t="b">
        <f>'Encoding Part 1'!G45</f>
        <v>0</v>
      </c>
      <c r="F35" s="135" t="b">
        <f>'Encoding Part 1'!F45</f>
        <v>0</v>
      </c>
      <c r="G35" s="135" t="b">
        <f>COUNTIFS($D$12:$D35,$D35,$C$12:$C35,$C35,$E$12:$E35,TRUE)=1</f>
        <v>0</v>
      </c>
      <c r="H35" s="119">
        <f>COUNTIFS($D$12:$D35,D35,$E$12:$E35,TRUE)</f>
        <v>0</v>
      </c>
      <c r="I35" s="119">
        <f>COUNTIF($E$12:$E35,TRUE)</f>
        <v>9</v>
      </c>
      <c r="J35" s="135" t="b">
        <f>'Encoding Part 1'!H45</f>
        <v>0</v>
      </c>
      <c r="K35" s="135" t="b">
        <f>'Encoding Part 1'!J45</f>
        <v>0</v>
      </c>
      <c r="L35" s="135" t="b">
        <f>'Encoding Part 1'!K45</f>
        <v>0</v>
      </c>
      <c r="M35" s="128" t="str">
        <f t="shared" si="1"/>
        <v/>
      </c>
      <c r="N35" s="129" t="str">
        <f>IF(AND($E35,$F35),IF(AND(career_stage="P",teacher_type="R"),SUMIF(RPI[Domain],$D35,RPI[Weight]), IF(AND(career_stage="HP",teacher_type="R"),SUMIF(RHPI[Domain],$D35,RHPI[Weight]), IF(AND(career_stage="P",teacher_type="TB"),SUMIF(TBPI[Domain],$D35,TBPI[Weight]), IF(AND(career_stage="HP",teacher_type="TB"),SUMIF(TBHPI[Domain],$D35,TBHPI[Weight]),"")))),"")</f>
        <v/>
      </c>
      <c r="O35" s="115" t="str">
        <f t="shared" si="2"/>
        <v/>
      </c>
      <c r="P35" s="116">
        <f>'Encoding Part 1'!Q45</f>
        <v>0</v>
      </c>
      <c r="Q35" s="48" t="str">
        <f>IF('Encoding Part 1'!AB45="","",'Encoding Part 1'!AB45)</f>
        <v/>
      </c>
      <c r="R35" s="48" t="str">
        <f>IF('Encoding Part 1'!AC45="","",'Encoding Part 1'!AC45)</f>
        <v/>
      </c>
      <c r="S35" s="48" t="str">
        <f>IF('Encoding Part 1'!AD45="","",'Encoding Part 1'!AD45)</f>
        <v/>
      </c>
      <c r="T35" s="49">
        <f t="shared" si="3"/>
        <v>0</v>
      </c>
      <c r="U35" s="49">
        <f t="shared" si="4"/>
        <v>0</v>
      </c>
      <c r="V35" s="126" t="str">
        <f t="shared" si="0"/>
        <v>Poor</v>
      </c>
    </row>
    <row r="36" spans="2:22" ht="24" hidden="1" customHeight="1" x14ac:dyDescent="0.25">
      <c r="B36" s="119">
        <v>25</v>
      </c>
      <c r="C36" s="119" t="str">
        <f>'Encoding Part 1'!O46</f>
        <v>5.2.2</v>
      </c>
      <c r="D36" s="124">
        <f>'Encoding Part 1'!E46</f>
        <v>4</v>
      </c>
      <c r="E36" s="135" t="b">
        <f>'Encoding Part 1'!G46</f>
        <v>0</v>
      </c>
      <c r="F36" s="135" t="b">
        <f>'Encoding Part 1'!F46</f>
        <v>0</v>
      </c>
      <c r="G36" s="135" t="b">
        <f>COUNTIFS($D$12:$D36,$D36,$C$12:$C36,$C36,$E$12:$E36,TRUE)=1</f>
        <v>0</v>
      </c>
      <c r="H36" s="119">
        <f>COUNTIFS($D$12:$D36,D36,$E$12:$E36,TRUE)</f>
        <v>0</v>
      </c>
      <c r="I36" s="119">
        <f>COUNTIF($E$12:$E36,TRUE)</f>
        <v>9</v>
      </c>
      <c r="J36" s="135" t="b">
        <f>'Encoding Part 1'!H46</f>
        <v>0</v>
      </c>
      <c r="K36" s="135" t="b">
        <f>'Encoding Part 1'!J46</f>
        <v>0</v>
      </c>
      <c r="L36" s="135" t="b">
        <f>'Encoding Part 1'!K46</f>
        <v>0</v>
      </c>
      <c r="M36" s="128" t="str">
        <f t="shared" si="1"/>
        <v/>
      </c>
      <c r="N36" s="129" t="str">
        <f>IF(AND($E36,$F36),IF(AND(career_stage="P",teacher_type="R"),SUMIF(RPI[Domain],$D36,RPI[Weight]), IF(AND(career_stage="HP",teacher_type="R"),SUMIF(RHPI[Domain],$D36,RHPI[Weight]), IF(AND(career_stage="P",teacher_type="TB"),SUMIF(TBPI[Domain],$D36,TBPI[Weight]), IF(AND(career_stage="HP",teacher_type="TB"),SUMIF(TBHPI[Domain],$D36,TBHPI[Weight]),"")))),"")</f>
        <v/>
      </c>
      <c r="O36" s="115" t="str">
        <f t="shared" si="2"/>
        <v/>
      </c>
      <c r="P36" s="116">
        <f>'Encoding Part 1'!Q46</f>
        <v>0</v>
      </c>
      <c r="Q36" s="48" t="str">
        <f>IF('Encoding Part 1'!AB46="","",'Encoding Part 1'!AB46)</f>
        <v/>
      </c>
      <c r="R36" s="48" t="str">
        <f>IF('Encoding Part 1'!AC46="","",'Encoding Part 1'!AC46)</f>
        <v/>
      </c>
      <c r="S36" s="48" t="str">
        <f>IF('Encoding Part 1'!AD46="","",'Encoding Part 1'!AD46)</f>
        <v/>
      </c>
      <c r="T36" s="49">
        <f t="shared" si="3"/>
        <v>0</v>
      </c>
      <c r="U36" s="49">
        <f t="shared" si="4"/>
        <v>0</v>
      </c>
      <c r="V36" s="126" t="str">
        <f t="shared" si="0"/>
        <v>Poor</v>
      </c>
    </row>
    <row r="37" spans="2:22" ht="24" customHeight="1" x14ac:dyDescent="0.25">
      <c r="B37" s="119">
        <v>26</v>
      </c>
      <c r="C37" s="119" t="str">
        <f>'Encoding Part 1'!O47</f>
        <v>5.3.2</v>
      </c>
      <c r="D37" s="124">
        <f>'Encoding Part 1'!E47</f>
        <v>3</v>
      </c>
      <c r="E37" s="135" t="b">
        <f>'Encoding Part 1'!G47</f>
        <v>1</v>
      </c>
      <c r="F37" s="135" t="b">
        <f>'Encoding Part 1'!F47</f>
        <v>0</v>
      </c>
      <c r="G37" s="135" t="b">
        <f>COUNTIFS($D$12:$D37,$D37,$C$12:$C37,$C37,$E$12:$E37,TRUE)=1</f>
        <v>1</v>
      </c>
      <c r="H37" s="119">
        <f>COUNTIFS($D$12:$D37,D37,$E$12:$E37,TRUE)</f>
        <v>2</v>
      </c>
      <c r="I37" s="119">
        <f>COUNTIF($E$12:$E37,TRUE)</f>
        <v>10</v>
      </c>
      <c r="J37" s="135" t="b">
        <f>'Encoding Part 1'!H47</f>
        <v>1</v>
      </c>
      <c r="K37" s="135" t="b">
        <f>'Encoding Part 1'!J47</f>
        <v>1</v>
      </c>
      <c r="L37" s="135" t="b">
        <f>'Encoding Part 1'!K47</f>
        <v>0</v>
      </c>
      <c r="M37" s="128" t="str">
        <f t="shared" si="1"/>
        <v/>
      </c>
      <c r="N37" s="129" t="str">
        <f>IF(AND($E37,$F37),IF(AND(career_stage="P",teacher_type="R"),SUMIF(RPI[Domain],$D37,RPI[Weight]), IF(AND(career_stage="HP",teacher_type="R"),SUMIF(RHPI[Domain],$D37,RHPI[Weight]), IF(AND(career_stage="P",teacher_type="TB"),SUMIF(TBPI[Domain],$D37,TBPI[Weight]), IF(AND(career_stage="HP",teacher_type="TB"),SUMIF(TBHPI[Domain],$D37,TBHPI[Weight]),"")))),"")</f>
        <v/>
      </c>
      <c r="O37" s="115" t="str">
        <f t="shared" si="2"/>
        <v>Objective 10</v>
      </c>
      <c r="P37" s="116">
        <f>'Encoding Part 1'!Q47</f>
        <v>7.0000000000000007E-2</v>
      </c>
      <c r="Q37" s="48">
        <f>IF('Encoding Part 1'!AB47="","",'Encoding Part 1'!AB47)</f>
        <v>5</v>
      </c>
      <c r="R37" s="48">
        <f>IF('Encoding Part 1'!AC47="","",'Encoding Part 1'!AC47)</f>
        <v>5</v>
      </c>
      <c r="S37" s="48" t="str">
        <f>IF('Encoding Part 1'!AD47="","",'Encoding Part 1'!AD47)</f>
        <v/>
      </c>
      <c r="T37" s="49">
        <f t="shared" si="3"/>
        <v>5</v>
      </c>
      <c r="U37" s="49">
        <f t="shared" si="4"/>
        <v>0.35</v>
      </c>
      <c r="V37" s="126" t="str">
        <f t="shared" si="0"/>
        <v>Outstanding</v>
      </c>
    </row>
    <row r="38" spans="2:22" ht="24" hidden="1" customHeight="1" x14ac:dyDescent="0.25">
      <c r="B38" s="119">
        <v>27</v>
      </c>
      <c r="C38" s="119" t="str">
        <f>'Encoding Part 1'!O48</f>
        <v>5.4.2</v>
      </c>
      <c r="D38" s="124">
        <f>'Encoding Part 1'!E48</f>
        <v>4</v>
      </c>
      <c r="E38" s="135" t="b">
        <f>'Encoding Part 1'!G48</f>
        <v>0</v>
      </c>
      <c r="F38" s="135" t="b">
        <f>'Encoding Part 1'!F48</f>
        <v>0</v>
      </c>
      <c r="G38" s="135" t="b">
        <f>COUNTIFS($D$12:$D38,$D38,$C$12:$C38,$C38,$E$12:$E38,TRUE)=1</f>
        <v>0</v>
      </c>
      <c r="H38" s="119">
        <f>COUNTIFS($D$12:$D38,D38,$E$12:$E38,TRUE)</f>
        <v>0</v>
      </c>
      <c r="I38" s="119">
        <f>COUNTIF($E$12:$E38,TRUE)</f>
        <v>10</v>
      </c>
      <c r="J38" s="135" t="b">
        <f>'Encoding Part 1'!H48</f>
        <v>0</v>
      </c>
      <c r="K38" s="135" t="b">
        <f>'Encoding Part 1'!J48</f>
        <v>0</v>
      </c>
      <c r="L38" s="135" t="b">
        <f>'Encoding Part 1'!K48</f>
        <v>0</v>
      </c>
      <c r="M38" s="128" t="str">
        <f t="shared" si="1"/>
        <v/>
      </c>
      <c r="N38" s="129" t="str">
        <f>IF(AND($E38,$F38),IF(AND(career_stage="P",teacher_type="R"),SUMIF(RPI[Domain],$D38,RPI[Weight]), IF(AND(career_stage="HP",teacher_type="R"),SUMIF(RHPI[Domain],$D38,RHPI[Weight]), IF(AND(career_stage="P",teacher_type="TB"),SUMIF(TBPI[Domain],$D38,TBPI[Weight]), IF(AND(career_stage="HP",teacher_type="TB"),SUMIF(TBHPI[Domain],$D38,TBHPI[Weight]),"")))),"")</f>
        <v/>
      </c>
      <c r="O38" s="115" t="str">
        <f t="shared" si="2"/>
        <v/>
      </c>
      <c r="P38" s="116">
        <f>'Encoding Part 1'!Q48</f>
        <v>0</v>
      </c>
      <c r="Q38" s="48" t="str">
        <f>IF('Encoding Part 1'!AB48="","",'Encoding Part 1'!AB48)</f>
        <v/>
      </c>
      <c r="R38" s="48" t="str">
        <f>IF('Encoding Part 1'!AC48="","",'Encoding Part 1'!AC48)</f>
        <v/>
      </c>
      <c r="S38" s="48" t="str">
        <f>IF('Encoding Part 1'!AD48="","",'Encoding Part 1'!AD48)</f>
        <v/>
      </c>
      <c r="T38" s="49">
        <f t="shared" si="3"/>
        <v>0</v>
      </c>
      <c r="U38" s="49">
        <f t="shared" si="4"/>
        <v>0</v>
      </c>
      <c r="V38" s="126" t="str">
        <f t="shared" si="0"/>
        <v>Poor</v>
      </c>
    </row>
    <row r="39" spans="2:22" ht="24" customHeight="1" x14ac:dyDescent="0.25">
      <c r="B39" s="119">
        <v>28</v>
      </c>
      <c r="C39" s="119" t="str">
        <f>'Encoding Part 1'!O49</f>
        <v>5.5.2</v>
      </c>
      <c r="D39" s="124">
        <f>'Encoding Part 1'!E49</f>
        <v>3</v>
      </c>
      <c r="E39" s="135" t="b">
        <f>'Encoding Part 1'!G49</f>
        <v>1</v>
      </c>
      <c r="F39" s="135" t="b">
        <f>'Encoding Part 1'!F49</f>
        <v>0</v>
      </c>
      <c r="G39" s="135" t="b">
        <f>COUNTIFS($D$12:$D39,$D39,$C$12:$C39,$C39,$E$12:$E39,TRUE)=1</f>
        <v>1</v>
      </c>
      <c r="H39" s="119">
        <f>COUNTIFS($D$12:$D39,D39,$E$12:$E39,TRUE)</f>
        <v>3</v>
      </c>
      <c r="I39" s="119">
        <f>COUNTIF($E$12:$E39,TRUE)</f>
        <v>11</v>
      </c>
      <c r="J39" s="135" t="b">
        <f>'Encoding Part 1'!H49</f>
        <v>1</v>
      </c>
      <c r="K39" s="135" t="b">
        <f>'Encoding Part 1'!J49</f>
        <v>0</v>
      </c>
      <c r="L39" s="135" t="b">
        <f>'Encoding Part 1'!K49</f>
        <v>1</v>
      </c>
      <c r="M39" s="128" t="str">
        <f t="shared" si="1"/>
        <v/>
      </c>
      <c r="N39" s="129" t="str">
        <f>IF(AND($E39,$F39),IF(AND(career_stage="P",teacher_type="R"),SUMIF(RPI[Domain],$D39,RPI[Weight]), IF(AND(career_stage="HP",teacher_type="R"),SUMIF(RHPI[Domain],$D39,RHPI[Weight]), IF(AND(career_stage="P",teacher_type="TB"),SUMIF(TBPI[Domain],$D39,TBPI[Weight]), IF(AND(career_stage="HP",teacher_type="TB"),SUMIF(TBHPI[Domain],$D39,TBHPI[Weight]),"")))),"")</f>
        <v/>
      </c>
      <c r="O39" s="115" t="str">
        <f t="shared" si="2"/>
        <v>Objective 11</v>
      </c>
      <c r="P39" s="116">
        <f>'Encoding Part 1'!Q49</f>
        <v>7.0000000000000007E-2</v>
      </c>
      <c r="Q39" s="48">
        <f>IF('Encoding Part 1'!AB49="","",'Encoding Part 1'!AB49)</f>
        <v>4</v>
      </c>
      <c r="R39" s="48" t="str">
        <f>IF('Encoding Part 1'!AC49="","",'Encoding Part 1'!AC49)</f>
        <v/>
      </c>
      <c r="S39" s="48">
        <f>IF('Encoding Part 1'!AD49="","",'Encoding Part 1'!AD49)</f>
        <v>5</v>
      </c>
      <c r="T39" s="49">
        <f t="shared" si="3"/>
        <v>4.5</v>
      </c>
      <c r="U39" s="49">
        <f t="shared" si="4"/>
        <v>0.315</v>
      </c>
      <c r="V39" s="126" t="str">
        <f t="shared" si="0"/>
        <v>Outstanding</v>
      </c>
    </row>
    <row r="40" spans="2:22" ht="24" hidden="1" customHeight="1" x14ac:dyDescent="0.25">
      <c r="B40" s="119">
        <v>29</v>
      </c>
      <c r="C40" s="119" t="str">
        <f>'Encoding Part 1'!O50</f>
        <v>6.1.2</v>
      </c>
      <c r="D40" s="124">
        <f>'Encoding Part 1'!E50</f>
        <v>6</v>
      </c>
      <c r="E40" s="135" t="b">
        <f>'Encoding Part 1'!G50</f>
        <v>0</v>
      </c>
      <c r="F40" s="135" t="b">
        <f>'Encoding Part 1'!F50</f>
        <v>0</v>
      </c>
      <c r="G40" s="135" t="b">
        <f>COUNTIFS($D$12:$D40,$D40,$C$12:$C40,$C40,$E$12:$E40,TRUE)=1</f>
        <v>0</v>
      </c>
      <c r="H40" s="119">
        <f>COUNTIFS($D$12:$D40,D40,$E$12:$E40,TRUE)</f>
        <v>0</v>
      </c>
      <c r="I40" s="119">
        <f>COUNTIF($E$12:$E40,TRUE)</f>
        <v>11</v>
      </c>
      <c r="J40" s="135" t="b">
        <f>'Encoding Part 1'!H50</f>
        <v>0</v>
      </c>
      <c r="K40" s="135" t="b">
        <f>'Encoding Part 1'!J50</f>
        <v>0</v>
      </c>
      <c r="L40" s="135" t="b">
        <f>'Encoding Part 1'!K50</f>
        <v>0</v>
      </c>
      <c r="M40" s="128" t="str">
        <f t="shared" si="1"/>
        <v/>
      </c>
      <c r="N40" s="129" t="str">
        <f>IF(AND($E40,$F40),IF(AND(career_stage="P",teacher_type="R"),SUMIF(RPI[Domain],$D40,RPI[Weight]), IF(AND(career_stage="HP",teacher_type="R"),SUMIF(RHPI[Domain],$D40,RHPI[Weight]), IF(AND(career_stage="P",teacher_type="TB"),SUMIF(TBPI[Domain],$D40,TBPI[Weight]), IF(AND(career_stage="HP",teacher_type="TB"),SUMIF(TBHPI[Domain],$D40,TBHPI[Weight]),"")))),"")</f>
        <v/>
      </c>
      <c r="O40" s="115" t="str">
        <f t="shared" si="2"/>
        <v/>
      </c>
      <c r="P40" s="116">
        <f>'Encoding Part 1'!Q50</f>
        <v>0</v>
      </c>
      <c r="Q40" s="48" t="str">
        <f>IF('Encoding Part 1'!AB50="","",'Encoding Part 1'!AB50)</f>
        <v/>
      </c>
      <c r="R40" s="48" t="str">
        <f>IF('Encoding Part 1'!AC50="","",'Encoding Part 1'!AC50)</f>
        <v/>
      </c>
      <c r="S40" s="48" t="str">
        <f>IF('Encoding Part 1'!AD50="","",'Encoding Part 1'!AD50)</f>
        <v/>
      </c>
      <c r="T40" s="49">
        <f t="shared" si="3"/>
        <v>0</v>
      </c>
      <c r="U40" s="49">
        <f t="shared" si="4"/>
        <v>0</v>
      </c>
      <c r="V40" s="126" t="str">
        <f t="shared" si="0"/>
        <v>Poor</v>
      </c>
    </row>
    <row r="41" spans="2:22" ht="24" customHeight="1" x14ac:dyDescent="0.25">
      <c r="B41" s="119">
        <v>30</v>
      </c>
      <c r="C41" s="119" t="str">
        <f>'Encoding Part 1'!O51</f>
        <v>6.2.2</v>
      </c>
      <c r="D41" s="124">
        <f>'Encoding Part 1'!E51</f>
        <v>4</v>
      </c>
      <c r="E41" s="135" t="b">
        <f>'Encoding Part 1'!G51</f>
        <v>1</v>
      </c>
      <c r="F41" s="135" t="b">
        <f>'Encoding Part 1'!F51</f>
        <v>1</v>
      </c>
      <c r="G41" s="135" t="b">
        <f>COUNTIFS($D$12:$D41,$D41,$C$12:$C41,$C41,$E$12:$E41,TRUE)=1</f>
        <v>1</v>
      </c>
      <c r="H41" s="119">
        <f>COUNTIFS($D$12:$D41,D41,$E$12:$E41,TRUE)</f>
        <v>1</v>
      </c>
      <c r="I41" s="119">
        <f>COUNTIF($E$12:$E41,TRUE)</f>
        <v>12</v>
      </c>
      <c r="J41" s="135" t="b">
        <f>'Encoding Part 1'!H51</f>
        <v>1</v>
      </c>
      <c r="K41" s="135" t="b">
        <f>'Encoding Part 1'!J51</f>
        <v>0</v>
      </c>
      <c r="L41" s="135" t="b">
        <f>'Encoding Part 1'!K51</f>
        <v>1</v>
      </c>
      <c r="M41" s="128" t="str">
        <f t="shared" si="1"/>
        <v>KRA 4</v>
      </c>
      <c r="N41" s="129">
        <f>IF(AND($E41,$F41),IF(AND(career_stage="P",teacher_type="R"),SUMIF(RPI[Domain],$D41,RPI[Weight]), IF(AND(career_stage="HP",teacher_type="R"),SUMIF(RHPI[Domain],$D41,RHPI[Weight]), IF(AND(career_stage="P",teacher_type="TB"),SUMIF(TBPI[Domain],$D41,TBPI[Weight]), IF(AND(career_stage="HP",teacher_type="TB"),SUMIF(TBHPI[Domain],$D41,TBHPI[Weight]),"")))),"")</f>
        <v>0.21000000000000002</v>
      </c>
      <c r="O41" s="115" t="str">
        <f t="shared" si="2"/>
        <v>Objective 12</v>
      </c>
      <c r="P41" s="116">
        <f>'Encoding Part 1'!Q51</f>
        <v>7.0000000000000007E-2</v>
      </c>
      <c r="Q41" s="48">
        <f>IF('Encoding Part 1'!AB51="","",'Encoding Part 1'!AB51)</f>
        <v>4</v>
      </c>
      <c r="R41" s="48" t="str">
        <f>IF('Encoding Part 1'!AC51="","",'Encoding Part 1'!AC51)</f>
        <v/>
      </c>
      <c r="S41" s="48">
        <f>IF('Encoding Part 1'!AD51="","",'Encoding Part 1'!AD51)</f>
        <v>5</v>
      </c>
      <c r="T41" s="49">
        <f t="shared" si="3"/>
        <v>4.5</v>
      </c>
      <c r="U41" s="49">
        <f t="shared" si="4"/>
        <v>0.315</v>
      </c>
      <c r="V41" s="126" t="str">
        <f t="shared" si="0"/>
        <v>Outstanding</v>
      </c>
    </row>
    <row r="42" spans="2:22" ht="24" hidden="1" customHeight="1" x14ac:dyDescent="0.25">
      <c r="B42" s="119">
        <v>31</v>
      </c>
      <c r="C42" s="119" t="str">
        <f>'Encoding Part 1'!O52</f>
        <v>6.3.2</v>
      </c>
      <c r="D42" s="124">
        <f>'Encoding Part 1'!E52</f>
        <v>6</v>
      </c>
      <c r="E42" s="135" t="b">
        <f>'Encoding Part 1'!G52</f>
        <v>0</v>
      </c>
      <c r="F42" s="135" t="b">
        <f>'Encoding Part 1'!F52</f>
        <v>0</v>
      </c>
      <c r="G42" s="135" t="b">
        <f>COUNTIFS($D$12:$D42,$D42,$C$12:$C42,$C42,$E$12:$E42,TRUE)=1</f>
        <v>0</v>
      </c>
      <c r="H42" s="119">
        <f>COUNTIFS($D$12:$D42,D42,$E$12:$E42,TRUE)</f>
        <v>0</v>
      </c>
      <c r="I42" s="119">
        <f>COUNTIF($E$12:$E42,TRUE)</f>
        <v>12</v>
      </c>
      <c r="J42" s="135" t="b">
        <f>'Encoding Part 1'!H52</f>
        <v>0</v>
      </c>
      <c r="K42" s="135" t="b">
        <f>'Encoding Part 1'!J52</f>
        <v>0</v>
      </c>
      <c r="L42" s="135" t="b">
        <f>'Encoding Part 1'!K52</f>
        <v>0</v>
      </c>
      <c r="M42" s="128" t="str">
        <f t="shared" si="1"/>
        <v/>
      </c>
      <c r="N42" s="129" t="str">
        <f>IF(AND($E42,$F42),IF(AND(career_stage="P",teacher_type="R"),SUMIF(RPI[Domain],$D42,RPI[Weight]), IF(AND(career_stage="HP",teacher_type="R"),SUMIF(RHPI[Domain],$D42,RHPI[Weight]), IF(AND(career_stage="P",teacher_type="TB"),SUMIF(TBPI[Domain],$D42,TBPI[Weight]), IF(AND(career_stage="HP",teacher_type="TB"),SUMIF(TBHPI[Domain],$D42,TBHPI[Weight]),"")))),"")</f>
        <v/>
      </c>
      <c r="O42" s="115" t="str">
        <f t="shared" si="2"/>
        <v/>
      </c>
      <c r="P42" s="116">
        <f>'Encoding Part 1'!Q52</f>
        <v>0</v>
      </c>
      <c r="Q42" s="48" t="str">
        <f>IF('Encoding Part 1'!AB52="","",'Encoding Part 1'!AB52)</f>
        <v/>
      </c>
      <c r="R42" s="48" t="str">
        <f>IF('Encoding Part 1'!AC52="","",'Encoding Part 1'!AC52)</f>
        <v/>
      </c>
      <c r="S42" s="48" t="str">
        <f>IF('Encoding Part 1'!AD52="","",'Encoding Part 1'!AD52)</f>
        <v/>
      </c>
      <c r="T42" s="49">
        <f t="shared" si="3"/>
        <v>0</v>
      </c>
      <c r="U42" s="49">
        <f t="shared" si="4"/>
        <v>0</v>
      </c>
      <c r="V42" s="126" t="str">
        <f t="shared" si="0"/>
        <v>Poor</v>
      </c>
    </row>
    <row r="43" spans="2:22" ht="24" hidden="1" customHeight="1" x14ac:dyDescent="0.25">
      <c r="B43" s="119">
        <v>32</v>
      </c>
      <c r="C43" s="119" t="str">
        <f>'Encoding Part 1'!O53</f>
        <v>6.4.2</v>
      </c>
      <c r="D43" s="124">
        <f>'Encoding Part 1'!E53</f>
        <v>6</v>
      </c>
      <c r="E43" s="135" t="b">
        <f>'Encoding Part 1'!G53</f>
        <v>0</v>
      </c>
      <c r="F43" s="135" t="b">
        <f>'Encoding Part 1'!F53</f>
        <v>0</v>
      </c>
      <c r="G43" s="135" t="b">
        <f>COUNTIFS($D$12:$D43,$D43,$C$12:$C43,$C43,$E$12:$E43,TRUE)=1</f>
        <v>0</v>
      </c>
      <c r="H43" s="119">
        <f>COUNTIFS($D$12:$D43,D43,$E$12:$E43,TRUE)</f>
        <v>0</v>
      </c>
      <c r="I43" s="119">
        <f>COUNTIF($E$12:$E43,TRUE)</f>
        <v>12</v>
      </c>
      <c r="J43" s="135" t="b">
        <f>'Encoding Part 1'!H53</f>
        <v>0</v>
      </c>
      <c r="K43" s="135" t="b">
        <f>'Encoding Part 1'!J53</f>
        <v>0</v>
      </c>
      <c r="L43" s="135" t="b">
        <f>'Encoding Part 1'!K53</f>
        <v>0</v>
      </c>
      <c r="M43" s="128" t="str">
        <f t="shared" si="1"/>
        <v/>
      </c>
      <c r="N43" s="129" t="str">
        <f>IF(AND($E43,$F43),IF(AND(career_stage="P",teacher_type="R"),SUMIF(RPI[Domain],$D43,RPI[Weight]), IF(AND(career_stage="HP",teacher_type="R"),SUMIF(RHPI[Domain],$D43,RHPI[Weight]), IF(AND(career_stage="P",teacher_type="TB"),SUMIF(TBPI[Domain],$D43,TBPI[Weight]), IF(AND(career_stage="HP",teacher_type="TB"),SUMIF(TBHPI[Domain],$D43,TBHPI[Weight]),"")))),"")</f>
        <v/>
      </c>
      <c r="O43" s="115" t="str">
        <f t="shared" si="2"/>
        <v/>
      </c>
      <c r="P43" s="116">
        <f>'Encoding Part 1'!Q53</f>
        <v>0</v>
      </c>
      <c r="Q43" s="48" t="str">
        <f>IF('Encoding Part 1'!AB53="","",'Encoding Part 1'!AB53)</f>
        <v/>
      </c>
      <c r="R43" s="48" t="str">
        <f>IF('Encoding Part 1'!AC53="","",'Encoding Part 1'!AC53)</f>
        <v/>
      </c>
      <c r="S43" s="48" t="str">
        <f>IF('Encoding Part 1'!AD53="","",'Encoding Part 1'!AD53)</f>
        <v/>
      </c>
      <c r="T43" s="49">
        <f t="shared" si="3"/>
        <v>0</v>
      </c>
      <c r="U43" s="49">
        <f t="shared" si="4"/>
        <v>0</v>
      </c>
      <c r="V43" s="126" t="str">
        <f t="shared" si="0"/>
        <v>Poor</v>
      </c>
    </row>
    <row r="44" spans="2:22" ht="24" hidden="1" customHeight="1" x14ac:dyDescent="0.25">
      <c r="B44" s="119">
        <v>33</v>
      </c>
      <c r="C44" s="119" t="str">
        <f>'Encoding Part 1'!O54</f>
        <v>7.1.2</v>
      </c>
      <c r="D44" s="124">
        <f>'Encoding Part 1'!E54</f>
        <v>5</v>
      </c>
      <c r="E44" s="135" t="b">
        <f>'Encoding Part 1'!G54</f>
        <v>0</v>
      </c>
      <c r="F44" s="135" t="b">
        <f>'Encoding Part 1'!F54</f>
        <v>0</v>
      </c>
      <c r="G44" s="135" t="b">
        <f>COUNTIFS($D$12:$D44,$D44,$C$12:$C44,$C44,$E$12:$E44,TRUE)=1</f>
        <v>0</v>
      </c>
      <c r="H44" s="119">
        <f>COUNTIFS($D$12:$D44,D44,$E$12:$E44,TRUE)</f>
        <v>0</v>
      </c>
      <c r="I44" s="119">
        <f>COUNTIF($E$12:$E44,TRUE)</f>
        <v>12</v>
      </c>
      <c r="J44" s="135" t="b">
        <f>'Encoding Part 1'!H54</f>
        <v>0</v>
      </c>
      <c r="K44" s="135" t="b">
        <f>'Encoding Part 1'!J54</f>
        <v>0</v>
      </c>
      <c r="L44" s="135" t="b">
        <f>'Encoding Part 1'!K54</f>
        <v>0</v>
      </c>
      <c r="M44" s="128" t="str">
        <f t="shared" si="1"/>
        <v/>
      </c>
      <c r="N44" s="129" t="str">
        <f>IF(AND($E44,$F44),IF(AND(career_stage="P",teacher_type="R"),SUMIF(RPI[Domain],$D44,RPI[Weight]), IF(AND(career_stage="HP",teacher_type="R"),SUMIF(RHPI[Domain],$D44,RHPI[Weight]), IF(AND(career_stage="P",teacher_type="TB"),SUMIF(TBPI[Domain],$D44,TBPI[Weight]), IF(AND(career_stage="HP",teacher_type="TB"),SUMIF(TBHPI[Domain],$D44,TBHPI[Weight]),"")))),"")</f>
        <v/>
      </c>
      <c r="O44" s="115" t="str">
        <f t="shared" si="2"/>
        <v/>
      </c>
      <c r="P44" s="116">
        <f>'Encoding Part 1'!Q54</f>
        <v>0</v>
      </c>
      <c r="Q44" s="48" t="str">
        <f>IF('Encoding Part 1'!AB54="","",'Encoding Part 1'!AB54)</f>
        <v/>
      </c>
      <c r="R44" s="48" t="str">
        <f>IF('Encoding Part 1'!AC54="","",'Encoding Part 1'!AC54)</f>
        <v/>
      </c>
      <c r="S44" s="48" t="str">
        <f>IF('Encoding Part 1'!AD54="","",'Encoding Part 1'!AD54)</f>
        <v/>
      </c>
      <c r="T44" s="49">
        <f t="shared" si="3"/>
        <v>0</v>
      </c>
      <c r="U44" s="49">
        <f t="shared" si="4"/>
        <v>0</v>
      </c>
      <c r="V44" s="126" t="str">
        <f t="shared" si="0"/>
        <v>Poor</v>
      </c>
    </row>
    <row r="45" spans="2:22" ht="24" hidden="1" customHeight="1" x14ac:dyDescent="0.25">
      <c r="B45" s="119">
        <v>34</v>
      </c>
      <c r="C45" s="119" t="str">
        <f>'Encoding Part 1'!O55</f>
        <v>7.2.2</v>
      </c>
      <c r="D45" s="124">
        <f>'Encoding Part 1'!E55</f>
        <v>5</v>
      </c>
      <c r="E45" s="135" t="b">
        <f>'Encoding Part 1'!G55</f>
        <v>0</v>
      </c>
      <c r="F45" s="135" t="b">
        <f>'Encoding Part 1'!F55</f>
        <v>0</v>
      </c>
      <c r="G45" s="135" t="b">
        <f>COUNTIFS($D$12:$D45,$D45,$C$12:$C45,$C45,$E$12:$E45,TRUE)=1</f>
        <v>0</v>
      </c>
      <c r="H45" s="119">
        <f>COUNTIFS($D$12:$D45,D45,$E$12:$E45,TRUE)</f>
        <v>0</v>
      </c>
      <c r="I45" s="119">
        <f>COUNTIF($E$12:$E45,TRUE)</f>
        <v>12</v>
      </c>
      <c r="J45" s="135" t="b">
        <f>'Encoding Part 1'!H55</f>
        <v>0</v>
      </c>
      <c r="K45" s="135" t="b">
        <f>'Encoding Part 1'!J55</f>
        <v>0</v>
      </c>
      <c r="L45" s="135" t="b">
        <f>'Encoding Part 1'!K55</f>
        <v>0</v>
      </c>
      <c r="M45" s="128" t="str">
        <f t="shared" si="1"/>
        <v/>
      </c>
      <c r="N45" s="129" t="str">
        <f>IF(AND($E45,$F45),IF(AND(career_stage="P",teacher_type="R"),SUMIF(RPI[Domain],$D45,RPI[Weight]), IF(AND(career_stage="HP",teacher_type="R"),SUMIF(RHPI[Domain],$D45,RHPI[Weight]), IF(AND(career_stage="P",teacher_type="TB"),SUMIF(TBPI[Domain],$D45,TBPI[Weight]), IF(AND(career_stage="HP",teacher_type="TB"),SUMIF(TBHPI[Domain],$D45,TBHPI[Weight]),"")))),"")</f>
        <v/>
      </c>
      <c r="O45" s="115" t="str">
        <f t="shared" si="2"/>
        <v/>
      </c>
      <c r="P45" s="116">
        <f>'Encoding Part 1'!Q55</f>
        <v>0</v>
      </c>
      <c r="Q45" s="48" t="str">
        <f>IF('Encoding Part 1'!AB55="","",'Encoding Part 1'!AB55)</f>
        <v/>
      </c>
      <c r="R45" s="48" t="str">
        <f>IF('Encoding Part 1'!AC55="","",'Encoding Part 1'!AC55)</f>
        <v/>
      </c>
      <c r="S45" s="48" t="str">
        <f>IF('Encoding Part 1'!AD55="","",'Encoding Part 1'!AD55)</f>
        <v/>
      </c>
      <c r="T45" s="49">
        <f t="shared" si="3"/>
        <v>0</v>
      </c>
      <c r="U45" s="49">
        <f t="shared" si="4"/>
        <v>0</v>
      </c>
      <c r="V45" s="126" t="str">
        <f t="shared" si="0"/>
        <v>Poor</v>
      </c>
    </row>
    <row r="46" spans="2:22" ht="24" customHeight="1" x14ac:dyDescent="0.25">
      <c r="B46" s="119">
        <v>35</v>
      </c>
      <c r="C46" s="119" t="str">
        <f>'Encoding Part 1'!O56</f>
        <v>7.3.2</v>
      </c>
      <c r="D46" s="124">
        <f>'Encoding Part 1'!E56</f>
        <v>4</v>
      </c>
      <c r="E46" s="135" t="b">
        <f>'Encoding Part 1'!G56</f>
        <v>1</v>
      </c>
      <c r="F46" s="135" t="b">
        <f>'Encoding Part 1'!F56</f>
        <v>0</v>
      </c>
      <c r="G46" s="135" t="b">
        <f>COUNTIFS($D$12:$D46,$D46,$C$12:$C46,$C46,$E$12:$E46,TRUE)=1</f>
        <v>1</v>
      </c>
      <c r="H46" s="119">
        <f>COUNTIFS($D$12:$D46,D46,$E$12:$E46,TRUE)</f>
        <v>2</v>
      </c>
      <c r="I46" s="119">
        <f>COUNTIF($E$12:$E46,TRUE)</f>
        <v>13</v>
      </c>
      <c r="J46" s="135" t="b">
        <f>'Encoding Part 1'!H56</f>
        <v>1</v>
      </c>
      <c r="K46" s="135" t="b">
        <f>'Encoding Part 1'!J56</f>
        <v>0</v>
      </c>
      <c r="L46" s="135" t="b">
        <f>'Encoding Part 1'!K56</f>
        <v>1</v>
      </c>
      <c r="M46" s="128" t="str">
        <f t="shared" si="1"/>
        <v/>
      </c>
      <c r="N46" s="129" t="str">
        <f>IF(AND($E46,$F46),IF(AND(career_stage="P",teacher_type="R"),SUMIF(RPI[Domain],$D46,RPI[Weight]), IF(AND(career_stage="HP",teacher_type="R"),SUMIF(RHPI[Domain],$D46,RHPI[Weight]), IF(AND(career_stage="P",teacher_type="TB"),SUMIF(TBPI[Domain],$D46,TBPI[Weight]), IF(AND(career_stage="HP",teacher_type="TB"),SUMIF(TBHPI[Domain],$D46,TBHPI[Weight]),"")))),"")</f>
        <v/>
      </c>
      <c r="O46" s="115" t="str">
        <f t="shared" si="2"/>
        <v>Objective 13</v>
      </c>
      <c r="P46" s="116">
        <f>'Encoding Part 1'!Q56</f>
        <v>7.0000000000000007E-2</v>
      </c>
      <c r="Q46" s="48">
        <f>IF('Encoding Part 1'!AB56="","",'Encoding Part 1'!AB56)</f>
        <v>4</v>
      </c>
      <c r="R46" s="48" t="str">
        <f>IF('Encoding Part 1'!AC56="","",'Encoding Part 1'!AC56)</f>
        <v/>
      </c>
      <c r="S46" s="48">
        <f>IF('Encoding Part 1'!AD56="","",'Encoding Part 1'!AD56)</f>
        <v>3</v>
      </c>
      <c r="T46" s="49">
        <f t="shared" si="3"/>
        <v>3.5</v>
      </c>
      <c r="U46" s="49">
        <f t="shared" si="4"/>
        <v>0.245</v>
      </c>
      <c r="V46" s="126" t="str">
        <f t="shared" si="0"/>
        <v>Very Satisfactory</v>
      </c>
    </row>
    <row r="47" spans="2:22" ht="24" customHeight="1" x14ac:dyDescent="0.25">
      <c r="B47" s="119">
        <v>36</v>
      </c>
      <c r="C47" s="119" t="str">
        <f>'Encoding Part 1'!O57</f>
        <v>7.4.2</v>
      </c>
      <c r="D47" s="124">
        <f>'Encoding Part 1'!E57</f>
        <v>4</v>
      </c>
      <c r="E47" s="135" t="b">
        <f>'Encoding Part 1'!G57</f>
        <v>1</v>
      </c>
      <c r="F47" s="135" t="b">
        <f>'Encoding Part 1'!F57</f>
        <v>0</v>
      </c>
      <c r="G47" s="135" t="b">
        <f>COUNTIFS($D$12:$D47,$D47,$C$12:$C47,$C47,$E$12:$E47,TRUE)=1</f>
        <v>1</v>
      </c>
      <c r="H47" s="119">
        <f>COUNTIFS($D$12:$D47,D47,$E$12:$E47,TRUE)</f>
        <v>3</v>
      </c>
      <c r="I47" s="119">
        <f>COUNTIF($E$12:$E47,TRUE)</f>
        <v>14</v>
      </c>
      <c r="J47" s="135" t="b">
        <f>'Encoding Part 1'!H57</f>
        <v>1</v>
      </c>
      <c r="K47" s="135" t="b">
        <f>'Encoding Part 1'!J57</f>
        <v>1</v>
      </c>
      <c r="L47" s="135" t="b">
        <f>'Encoding Part 1'!K57</f>
        <v>1</v>
      </c>
      <c r="M47" s="128" t="str">
        <f t="shared" si="1"/>
        <v/>
      </c>
      <c r="N47" s="129" t="str">
        <f>IF(AND($E47,$F47),IF(AND(career_stage="P",teacher_type="R"),SUMIF(RPI[Domain],$D47,RPI[Weight]), IF(AND(career_stage="HP",teacher_type="R"),SUMIF(RHPI[Domain],$D47,RHPI[Weight]), IF(AND(career_stage="P",teacher_type="TB"),SUMIF(TBPI[Domain],$D47,TBPI[Weight]), IF(AND(career_stage="HP",teacher_type="TB"),SUMIF(TBHPI[Domain],$D47,TBHPI[Weight]),"")))),"")</f>
        <v/>
      </c>
      <c r="O47" s="115" t="str">
        <f t="shared" si="2"/>
        <v>Objective 14</v>
      </c>
      <c r="P47" s="116">
        <f>'Encoding Part 1'!Q57</f>
        <v>7.0000000000000007E-2</v>
      </c>
      <c r="Q47" s="48">
        <f>IF('Encoding Part 1'!AB57="","",'Encoding Part 1'!AB57)</f>
        <v>4</v>
      </c>
      <c r="R47" s="48">
        <f>IF('Encoding Part 1'!AC57="","",'Encoding Part 1'!AC57)</f>
        <v>3</v>
      </c>
      <c r="S47" s="48">
        <f>IF('Encoding Part 1'!AD57="","",'Encoding Part 1'!AD57)</f>
        <v>4</v>
      </c>
      <c r="T47" s="49">
        <f t="shared" si="3"/>
        <v>3.6666666666666665</v>
      </c>
      <c r="U47" s="49">
        <f t="shared" si="4"/>
        <v>0.25600000000000001</v>
      </c>
      <c r="V47" s="126" t="str">
        <f t="shared" si="0"/>
        <v>Very Satisfactory</v>
      </c>
    </row>
    <row r="48" spans="2:22" ht="24" hidden="1" customHeight="1" x14ac:dyDescent="0.25">
      <c r="B48" s="119">
        <v>37</v>
      </c>
      <c r="C48" s="119" t="str">
        <f>'Encoding Part 1'!O58</f>
        <v>7.5.2</v>
      </c>
      <c r="D48" s="124">
        <f>'Encoding Part 1'!E58</f>
        <v>5</v>
      </c>
      <c r="E48" s="135" t="b">
        <f>'Encoding Part 1'!G58</f>
        <v>0</v>
      </c>
      <c r="F48" s="135" t="b">
        <f>'Encoding Part 1'!F58</f>
        <v>0</v>
      </c>
      <c r="G48" s="135" t="b">
        <f>COUNTIFS($D$12:$D48,$D48,$C$12:$C48,$C48,$E$12:$E48,TRUE)=1</f>
        <v>0</v>
      </c>
      <c r="H48" s="119">
        <f>COUNTIFS($D$12:$D48,D48,$E$12:$E48,TRUE)</f>
        <v>0</v>
      </c>
      <c r="I48" s="119">
        <f>COUNTIF($E$12:$E48,TRUE)</f>
        <v>14</v>
      </c>
      <c r="J48" s="135" t="b">
        <f>'Encoding Part 1'!H58</f>
        <v>0</v>
      </c>
      <c r="K48" s="135" t="b">
        <f>'Encoding Part 1'!J58</f>
        <v>0</v>
      </c>
      <c r="L48" s="135" t="b">
        <f>'Encoding Part 1'!K58</f>
        <v>0</v>
      </c>
      <c r="M48" s="128" t="str">
        <f t="shared" si="1"/>
        <v/>
      </c>
      <c r="N48" s="129" t="str">
        <f>IF(AND($E48,$F48),IF(AND(career_stage="P",teacher_type="R"),SUMIF(RPI[Domain],$D48,RPI[Weight]), IF(AND(career_stage="HP",teacher_type="R"),SUMIF(RHPI[Domain],$D48,RHPI[Weight]), IF(AND(career_stage="P",teacher_type="TB"),SUMIF(TBPI[Domain],$D48,TBPI[Weight]), IF(AND(career_stage="HP",teacher_type="TB"),SUMIF(TBHPI[Domain],$D48,TBHPI[Weight]),"")))),"")</f>
        <v/>
      </c>
      <c r="O48" s="115" t="str">
        <f t="shared" si="2"/>
        <v/>
      </c>
      <c r="P48" s="116">
        <f>'Encoding Part 1'!Q58</f>
        <v>0</v>
      </c>
      <c r="Q48" s="48" t="str">
        <f>IF('Encoding Part 1'!AB58="","",'Encoding Part 1'!AB58)</f>
        <v/>
      </c>
      <c r="R48" s="48" t="str">
        <f>IF('Encoding Part 1'!AC58="","",'Encoding Part 1'!AC58)</f>
        <v/>
      </c>
      <c r="S48" s="48" t="str">
        <f>IF('Encoding Part 1'!AD58="","",'Encoding Part 1'!AD58)</f>
        <v/>
      </c>
      <c r="T48" s="49">
        <f t="shared" si="3"/>
        <v>0</v>
      </c>
      <c r="U48" s="49">
        <f t="shared" si="4"/>
        <v>0</v>
      </c>
      <c r="V48" s="126" t="str">
        <f t="shared" si="0"/>
        <v>Poor</v>
      </c>
    </row>
    <row r="49" spans="1:23" ht="24" customHeight="1" x14ac:dyDescent="0.25">
      <c r="B49" s="119">
        <v>38</v>
      </c>
      <c r="C49" s="119">
        <f>'Encoding Part 1'!O59</f>
        <v>15</v>
      </c>
      <c r="D49" s="124" t="str">
        <f>'Encoding Part 1'!E59</f>
        <v>Plus Factor</v>
      </c>
      <c r="E49" s="135" t="b">
        <f>'Encoding Part 1'!G59</f>
        <v>1</v>
      </c>
      <c r="F49" s="135" t="b">
        <f>'Encoding Part 1'!F59</f>
        <v>1</v>
      </c>
      <c r="G49" s="135" t="b">
        <f>COUNTIFS($D$12:$D49,$D49,$C$12:$C49,$C49,$E$12:$E49,TRUE)=1</f>
        <v>1</v>
      </c>
      <c r="H49" s="119">
        <f>COUNTIFS($D$12:$D49,D49,$E$12:$E49,TRUE)</f>
        <v>1</v>
      </c>
      <c r="I49" s="119">
        <f>COUNTIF($E$12:$E49,TRUE)</f>
        <v>15</v>
      </c>
      <c r="J49" s="135" t="b">
        <f>'Encoding Part 1'!H59</f>
        <v>1</v>
      </c>
      <c r="K49" s="135" t="b">
        <f>'Encoding Part 1'!J59</f>
        <v>1</v>
      </c>
      <c r="L49" s="135" t="b">
        <f>'Encoding Part 1'!K59</f>
        <v>1</v>
      </c>
      <c r="M49" s="128" t="str">
        <f t="shared" si="1"/>
        <v>Plus Factor</v>
      </c>
      <c r="N49" s="129">
        <f>IF(AND($E49,$F49),IF(AND(career_stage="P",teacher_type="R"),SUMIF(RPI[Domain],$D49,RPI[Weight]), IF(AND(career_stage="HP",teacher_type="R"),SUMIF(RHPI[Domain],$D49,RHPI[Weight]), IF(AND(career_stage="P",teacher_type="TB"),SUMIF(TBPI[Domain],$D49,TBPI[Weight]), IF(AND(career_stage="HP",teacher_type="TB"),SUMIF(TBHPI[Domain],$D49,TBHPI[Weight]),"")))),"")</f>
        <v>0.02</v>
      </c>
      <c r="O49" s="115" t="str">
        <f t="shared" si="2"/>
        <v>Objective 15</v>
      </c>
      <c r="P49" s="116">
        <f>'Encoding Part 1'!Q59</f>
        <v>0.02</v>
      </c>
      <c r="Q49" s="48">
        <f>IF('Encoding Part 1'!AB59="","",'Encoding Part 1'!AB59)</f>
        <v>4</v>
      </c>
      <c r="R49" s="48">
        <f>IF('Encoding Part 1'!AC59="","",'Encoding Part 1'!AC59)</f>
        <v>3</v>
      </c>
      <c r="S49" s="48">
        <f>IF('Encoding Part 1'!AD59="","",'Encoding Part 1'!AD59)</f>
        <v>4</v>
      </c>
      <c r="T49" s="49">
        <f t="shared" si="3"/>
        <v>3.6666666666666665</v>
      </c>
      <c r="U49" s="49">
        <f t="shared" si="4"/>
        <v>7.2999999999999995E-2</v>
      </c>
      <c r="V49" s="126" t="str">
        <f t="shared" si="0"/>
        <v>Very Satisfactory</v>
      </c>
    </row>
    <row r="50" spans="1:23" ht="24" hidden="1" customHeight="1" x14ac:dyDescent="0.25">
      <c r="B50" s="119">
        <v>39</v>
      </c>
      <c r="C50" s="119" t="str">
        <f>'Encoding Part 1'!O60</f>
        <v/>
      </c>
      <c r="D50" s="124" t="str">
        <f>'Encoding Part 1'!E60</f>
        <v/>
      </c>
      <c r="E50" s="135" t="b">
        <f>'Encoding Part 1'!G60</f>
        <v>0</v>
      </c>
      <c r="F50" s="135" t="b">
        <f>'Encoding Part 1'!F60</f>
        <v>0</v>
      </c>
      <c r="G50" s="135" t="b">
        <f>COUNTIFS($D$12:$D50,$D50,$C$12:$C50,$C50,$E$12:$E50,TRUE)=1</f>
        <v>0</v>
      </c>
      <c r="H50" s="119">
        <f>COUNTIFS($D$12:$D50,D50,$E$12:$E50,TRUE)</f>
        <v>0</v>
      </c>
      <c r="I50" s="119">
        <f>COUNTIF($E$12:$E50,TRUE)</f>
        <v>15</v>
      </c>
      <c r="J50" s="135" t="b">
        <f>'Encoding Part 1'!H60</f>
        <v>0</v>
      </c>
      <c r="K50" s="135" t="b">
        <f>'Encoding Part 1'!J60</f>
        <v>0</v>
      </c>
      <c r="L50" s="135" t="b">
        <f>'Encoding Part 1'!K60</f>
        <v>0</v>
      </c>
      <c r="M50" s="128" t="str">
        <f t="shared" si="1"/>
        <v/>
      </c>
      <c r="N50" s="129" t="str">
        <f>IF(AND($E50,$F50),IF(AND(career_stage="P",teacher_type="R"),SUMIF(RPI[Domain],$D50,RPI[Weight]), IF(AND(career_stage="HP",teacher_type="R"),SUMIF(RHPI[Domain],$D50,RHPI[Weight]), IF(AND(career_stage="P",teacher_type="TB"),SUMIF(TBPI[Domain],$D50,TBPI[Weight]), IF(AND(career_stage="HP",teacher_type="TB"),SUMIF(TBHPI[Domain],$D50,TBHPI[Weight]),"")))),"")</f>
        <v/>
      </c>
      <c r="O50" s="115" t="str">
        <f t="shared" si="2"/>
        <v/>
      </c>
      <c r="P50" s="116">
        <f>'Encoding Part 1'!Q60</f>
        <v>0</v>
      </c>
      <c r="Q50" s="48" t="str">
        <f>IF('Encoding Part 1'!AB60="","",'Encoding Part 1'!AB60)</f>
        <v/>
      </c>
      <c r="R50" s="48" t="str">
        <f>IF('Encoding Part 1'!AC60="","",'Encoding Part 1'!AC60)</f>
        <v/>
      </c>
      <c r="S50" s="48" t="str">
        <f>IF('Encoding Part 1'!AD60="","",'Encoding Part 1'!AD60)</f>
        <v/>
      </c>
      <c r="T50" s="49">
        <f t="shared" si="3"/>
        <v>0</v>
      </c>
      <c r="U50" s="49">
        <f t="shared" si="4"/>
        <v>0</v>
      </c>
      <c r="V50" s="126" t="str">
        <f t="shared" si="0"/>
        <v>Poor</v>
      </c>
    </row>
    <row r="51" spans="1:23" ht="24" hidden="1" customHeight="1" x14ac:dyDescent="0.25">
      <c r="B51" s="119">
        <v>40</v>
      </c>
      <c r="C51" s="119" t="str">
        <f>'Encoding Part 1'!O61</f>
        <v/>
      </c>
      <c r="D51" s="124" t="str">
        <f>'Encoding Part 1'!E61</f>
        <v/>
      </c>
      <c r="E51" s="135" t="b">
        <f>'Encoding Part 1'!G61</f>
        <v>0</v>
      </c>
      <c r="F51" s="135" t="b">
        <f>'Encoding Part 1'!F61</f>
        <v>0</v>
      </c>
      <c r="G51" s="135" t="b">
        <f>COUNTIFS($D$12:$D51,$D51,$C$12:$C51,$C51,$E$12:$E51,TRUE)=1</f>
        <v>0</v>
      </c>
      <c r="H51" s="119">
        <f>COUNTIFS($D$12:$D51,D51,$E$12:$E51,TRUE)</f>
        <v>0</v>
      </c>
      <c r="I51" s="119">
        <f>COUNTIF($E$12:$E51,TRUE)</f>
        <v>15</v>
      </c>
      <c r="J51" s="135" t="b">
        <f>'Encoding Part 1'!H61</f>
        <v>0</v>
      </c>
      <c r="K51" s="135" t="b">
        <f>'Encoding Part 1'!J61</f>
        <v>0</v>
      </c>
      <c r="L51" s="135" t="b">
        <f>'Encoding Part 1'!K61</f>
        <v>0</v>
      </c>
      <c r="M51" s="128" t="str">
        <f t="shared" si="1"/>
        <v/>
      </c>
      <c r="N51" s="129" t="str">
        <f>IF(AND($E51,$F51),IF(AND(career_stage="P",teacher_type="R"),SUMIF(RPI[Domain],$D51,RPI[Weight]), IF(AND(career_stage="HP",teacher_type="R"),SUMIF(RHPI[Domain],$D51,RHPI[Weight]), IF(AND(career_stage="P",teacher_type="TB"),SUMIF(TBPI[Domain],$D51,TBPI[Weight]), IF(AND(career_stage="HP",teacher_type="TB"),SUMIF(TBHPI[Domain],$D51,TBHPI[Weight]),"")))),"")</f>
        <v/>
      </c>
      <c r="O51" s="130" t="str">
        <f t="shared" si="2"/>
        <v/>
      </c>
      <c r="P51" s="131">
        <f>'Encoding Part 1'!Q61</f>
        <v>0</v>
      </c>
      <c r="Q51" s="132" t="str">
        <f>IF('Encoding Part 1'!AB61="","",'Encoding Part 1'!AB61)</f>
        <v/>
      </c>
      <c r="R51" s="132" t="str">
        <f>IF('Encoding Part 1'!AC61="","",'Encoding Part 1'!AC61)</f>
        <v/>
      </c>
      <c r="S51" s="132" t="str">
        <f>IF('Encoding Part 1'!AD61="","",'Encoding Part 1'!AD61)</f>
        <v/>
      </c>
      <c r="T51" s="133">
        <f t="shared" si="3"/>
        <v>0</v>
      </c>
      <c r="U51" s="133">
        <f t="shared" si="4"/>
        <v>0</v>
      </c>
      <c r="V51" s="134" t="str">
        <f t="shared" si="0"/>
        <v>Poor</v>
      </c>
    </row>
    <row r="52" spans="1:23" ht="24" customHeight="1" x14ac:dyDescent="0.25">
      <c r="M52" s="738" t="s">
        <v>1239</v>
      </c>
      <c r="N52" s="739"/>
      <c r="O52" s="742" t="s">
        <v>1240</v>
      </c>
      <c r="P52" s="743"/>
      <c r="Q52" s="743"/>
      <c r="R52" s="744"/>
      <c r="S52" s="748" t="s">
        <v>1085</v>
      </c>
      <c r="T52" s="749"/>
      <c r="U52" s="750">
        <f>ROUNDDOWN(SUM(U12:U51),3)</f>
        <v>4.5990000000000002</v>
      </c>
      <c r="V52" s="751"/>
    </row>
    <row r="53" spans="1:23" ht="24" customHeight="1" x14ac:dyDescent="0.25">
      <c r="M53" s="740"/>
      <c r="N53" s="741"/>
      <c r="O53" s="745"/>
      <c r="P53" s="746"/>
      <c r="Q53" s="746"/>
      <c r="R53" s="747"/>
      <c r="S53" s="748" t="s">
        <v>1087</v>
      </c>
      <c r="T53" s="749"/>
      <c r="U53" s="752" t="str">
        <f>IFERROR(VLOOKUP($U$52,rating_desc_vlookup,2,TRUE),"")</f>
        <v>Outstanding</v>
      </c>
      <c r="V53" s="753"/>
    </row>
    <row r="55" spans="1:23" ht="15.6" hidden="1" customHeight="1" x14ac:dyDescent="0.25"/>
    <row r="57" spans="1:23" ht="15.6" customHeight="1" x14ac:dyDescent="0.25">
      <c r="A57" s="735" t="str">
        <f>'PART 1'!Q144</f>
        <v>ROWENA S. GOLLA</v>
      </c>
      <c r="B57" s="735"/>
      <c r="C57" s="735"/>
      <c r="D57" s="735"/>
      <c r="E57" s="735"/>
      <c r="F57" s="735"/>
      <c r="G57" s="735"/>
      <c r="H57" s="735"/>
      <c r="I57" s="735"/>
      <c r="J57" s="735"/>
      <c r="K57" s="735"/>
      <c r="L57" s="735"/>
      <c r="M57" s="735"/>
      <c r="N57" s="735"/>
      <c r="O57" s="735" t="str">
        <f>'PART 1'!V144</f>
        <v>FRANCISCO P. MUYANA</v>
      </c>
      <c r="P57" s="735"/>
      <c r="Q57" s="735"/>
      <c r="R57" s="735"/>
      <c r="S57" s="735"/>
      <c r="T57" s="735" t="str">
        <f>'PART 1'!Z144</f>
        <v>ROWENA B. SISON</v>
      </c>
      <c r="U57" s="735"/>
      <c r="V57" s="735"/>
      <c r="W57" s="735"/>
    </row>
    <row r="58" spans="1:23" ht="15.6" customHeight="1" x14ac:dyDescent="0.25">
      <c r="A58" s="736" t="s">
        <v>998</v>
      </c>
      <c r="B58" s="736"/>
      <c r="C58" s="736"/>
      <c r="D58" s="736"/>
      <c r="E58" s="736"/>
      <c r="F58" s="736"/>
      <c r="G58" s="736"/>
      <c r="H58" s="736"/>
      <c r="I58" s="736"/>
      <c r="J58" s="736"/>
      <c r="K58" s="736"/>
      <c r="L58" s="736"/>
      <c r="M58" s="736"/>
      <c r="N58" s="736"/>
      <c r="O58" s="736" t="s">
        <v>1197</v>
      </c>
      <c r="P58" s="736"/>
      <c r="Q58" s="736"/>
      <c r="R58" s="736"/>
      <c r="S58" s="736"/>
      <c r="T58" s="737" t="s">
        <v>1198</v>
      </c>
      <c r="U58" s="737"/>
      <c r="V58" s="737"/>
      <c r="W58" s="737"/>
    </row>
  </sheetData>
  <sheetProtection algorithmName="SHA-512" hashValue="UqSTqK1aFE7wb46zxdLGCV3pr9Tf3kVav6KSAxi2VOIilRrBVaNSyvZAzpi1xhbQFV+1JfZT6ku/b5jWzVg22A==" saltValue="xsN88kIOoIFFG9EtLWdg0Q==" spinCount="100000" sheet="1" objects="1" scenarios="1" selectLockedCells="1" selectUnlockedCells="1"/>
  <mergeCells count="37">
    <mergeCell ref="A1:W1"/>
    <mergeCell ref="M5:N5"/>
    <mergeCell ref="O5:Q5"/>
    <mergeCell ref="R5:S5"/>
    <mergeCell ref="T5:V5"/>
    <mergeCell ref="M4:N4"/>
    <mergeCell ref="O4:Q4"/>
    <mergeCell ref="R4:S4"/>
    <mergeCell ref="T4:V4"/>
    <mergeCell ref="A2:W2"/>
    <mergeCell ref="M6:N6"/>
    <mergeCell ref="O6:Q6"/>
    <mergeCell ref="R6:S6"/>
    <mergeCell ref="T6:V6"/>
    <mergeCell ref="V10:V11"/>
    <mergeCell ref="M7:N7"/>
    <mergeCell ref="O7:Q7"/>
    <mergeCell ref="R7:V7"/>
    <mergeCell ref="M9:V9"/>
    <mergeCell ref="M10:M11"/>
    <mergeCell ref="N10:N11"/>
    <mergeCell ref="O10:O11"/>
    <mergeCell ref="P10:P11"/>
    <mergeCell ref="Q10:T10"/>
    <mergeCell ref="U10:U11"/>
    <mergeCell ref="M52:N53"/>
    <mergeCell ref="O52:R53"/>
    <mergeCell ref="S52:T52"/>
    <mergeCell ref="U52:V52"/>
    <mergeCell ref="S53:T53"/>
    <mergeCell ref="U53:V53"/>
    <mergeCell ref="O57:S57"/>
    <mergeCell ref="T57:W57"/>
    <mergeCell ref="O58:S58"/>
    <mergeCell ref="T58:W58"/>
    <mergeCell ref="A57:N57"/>
    <mergeCell ref="A58:N58"/>
  </mergeCells>
  <conditionalFormatting sqref="M10:V11 M52:V53">
    <cfRule type="expression" dxfId="150" priority="3">
      <formula>career_stage="P"</formula>
    </cfRule>
    <cfRule type="expression" dxfId="149" priority="4">
      <formula>career_stage="HP"</formula>
    </cfRule>
  </conditionalFormatting>
  <conditionalFormatting sqref="M12:N51">
    <cfRule type="expression" dxfId="148" priority="2">
      <formula>$F12</formula>
    </cfRule>
  </conditionalFormatting>
  <conditionalFormatting sqref="Q12:S51">
    <cfRule type="expression" dxfId="147" priority="1">
      <formula>NOT(J12)</formula>
    </cfRule>
  </conditionalFormatting>
  <printOptions horizontalCentered="1"/>
  <pageMargins left="0.5" right="0.5" top="0.7" bottom="0.5" header="0" footer="0.3"/>
  <pageSetup paperSize="9" scale="90" fitToHeight="0" orientation="landscape" r:id="rId1"/>
  <headerFooter>
    <oddHeader>&amp;C&amp;"Calibri,Regular"&amp;K000000&amp;G</oddHeader>
    <oddFooter>Page &amp;P of &amp;N</oddFooter>
  </headerFooter>
  <legacyDrawingHF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4FEEF-4A51-7046-8E41-BC412D486410}">
  <sheetPr codeName="PART4">
    <pageSetUpPr fitToPage="1"/>
  </sheetPr>
  <dimension ref="A1:U36"/>
  <sheetViews>
    <sheetView showGridLines="0" tabSelected="1" view="pageBreakPreview" topLeftCell="A2" zoomScaleNormal="140" zoomScaleSheetLayoutView="100" workbookViewId="0">
      <selection activeCell="D23" sqref="D23"/>
    </sheetView>
  </sheetViews>
  <sheetFormatPr defaultColWidth="8.85546875" defaultRowHeight="15" x14ac:dyDescent="0.25"/>
  <cols>
    <col min="1" max="4" width="26" customWidth="1"/>
    <col min="5" max="5" width="17.85546875" customWidth="1"/>
    <col min="6" max="6" width="26.42578125" customWidth="1"/>
    <col min="8" max="8" width="6.42578125" hidden="1" customWidth="1"/>
    <col min="9" max="9" width="8.85546875" style="217" hidden="1" customWidth="1"/>
    <col min="10" max="13" width="8.85546875" hidden="1" customWidth="1"/>
    <col min="14" max="14" width="8.85546875" style="217" hidden="1" customWidth="1"/>
    <col min="15" max="15" width="8.85546875" hidden="1" customWidth="1"/>
    <col min="16" max="16" width="8.85546875" style="50" hidden="1" customWidth="1"/>
    <col min="17" max="21" width="8.85546875" hidden="1" customWidth="1"/>
  </cols>
  <sheetData>
    <row r="1" spans="1:21" ht="18.75" x14ac:dyDescent="0.25">
      <c r="A1" s="782" t="s">
        <v>1241</v>
      </c>
      <c r="B1" s="783"/>
      <c r="C1" s="783"/>
      <c r="D1" s="783"/>
      <c r="E1" s="783"/>
      <c r="F1" s="784"/>
    </row>
    <row r="2" spans="1:21" ht="90.95" customHeight="1" thickBot="1" x14ac:dyDescent="0.3">
      <c r="A2" s="365"/>
      <c r="B2" s="366"/>
      <c r="C2" s="366"/>
      <c r="D2" s="366"/>
      <c r="E2" s="366"/>
      <c r="F2" s="367"/>
    </row>
    <row r="3" spans="1:21" ht="15" customHeight="1" x14ac:dyDescent="0.25">
      <c r="A3" s="785" t="s">
        <v>1242</v>
      </c>
      <c r="B3" s="785" t="s">
        <v>1243</v>
      </c>
      <c r="C3" s="788" t="s">
        <v>1244</v>
      </c>
      <c r="D3" s="789"/>
      <c r="E3" s="785" t="s">
        <v>1172</v>
      </c>
      <c r="F3" s="785" t="s">
        <v>1245</v>
      </c>
      <c r="R3" s="53" t="s">
        <v>1246</v>
      </c>
      <c r="S3" s="136" t="b">
        <v>0</v>
      </c>
    </row>
    <row r="4" spans="1:21" ht="20.100000000000001" customHeight="1" thickBot="1" x14ac:dyDescent="0.3">
      <c r="A4" s="786"/>
      <c r="B4" s="786"/>
      <c r="C4" s="790" t="s">
        <v>1247</v>
      </c>
      <c r="D4" s="791"/>
      <c r="E4" s="786"/>
      <c r="F4" s="786"/>
      <c r="R4" s="53" t="s">
        <v>863</v>
      </c>
      <c r="S4" t="b">
        <f>AND(R7:U23)</f>
        <v>0</v>
      </c>
    </row>
    <row r="5" spans="1:21" ht="16.5" thickBot="1" x14ac:dyDescent="0.3">
      <c r="A5" s="787"/>
      <c r="B5" s="787"/>
      <c r="C5" s="368" t="s">
        <v>1248</v>
      </c>
      <c r="D5" s="368" t="s">
        <v>1249</v>
      </c>
      <c r="E5" s="787"/>
      <c r="F5" s="787"/>
      <c r="H5" s="53" t="s">
        <v>1250</v>
      </c>
      <c r="I5" s="373" t="s">
        <v>1251</v>
      </c>
      <c r="J5" s="55" t="s">
        <v>1252</v>
      </c>
      <c r="K5" s="55" t="s">
        <v>921</v>
      </c>
      <c r="L5" s="55"/>
      <c r="M5" s="55" t="s">
        <v>1250</v>
      </c>
      <c r="N5" s="373" t="s">
        <v>1253</v>
      </c>
      <c r="O5" s="55" t="s">
        <v>1252</v>
      </c>
      <c r="P5" s="55" t="s">
        <v>921</v>
      </c>
      <c r="R5" s="380" t="s">
        <v>1011</v>
      </c>
    </row>
    <row r="6" spans="1:21" ht="16.5" thickBot="1" x14ac:dyDescent="0.3">
      <c r="A6" s="793" t="s">
        <v>1254</v>
      </c>
      <c r="B6" s="794"/>
      <c r="C6" s="794"/>
      <c r="D6" s="794"/>
      <c r="E6" s="794"/>
      <c r="F6" s="795"/>
      <c r="H6" s="374"/>
      <c r="I6" s="375" t="s">
        <v>865</v>
      </c>
      <c r="J6" s="376">
        <v>0</v>
      </c>
      <c r="K6" s="376"/>
      <c r="L6" s="376"/>
      <c r="M6" s="376"/>
      <c r="N6" s="375" t="s">
        <v>865</v>
      </c>
      <c r="O6" s="376">
        <v>0</v>
      </c>
      <c r="P6" s="377"/>
    </row>
    <row r="7" spans="1:21" ht="120" x14ac:dyDescent="0.25">
      <c r="A7" s="383" t="str">
        <f>IFERROR(IF(PART1_locked,
IF(AND(teacher_type="R",career_stage="P"), VLOOKUP(H7,RPI[[Strand]:[PPST Indicators]],2,FALSE),
IF(AND(teacher_type="R",career_stage="HP"), VLOOKUP(H7,RHPI[[Strand]:[PPST Indicators]],2,FALSE),
IF(AND(teacher_type="TB",career_stage="P"), VLOOKUP(H7,TBPI[[Strand]:[PPST Indicators]],2,FALSE),
IF(AND(teacher_type="TB",career_stage="HP"), VLOOKUP(H7,TBHPI[[Strand]:[PPST Indicators]],2,FALSE),""))))
&amp; IF(""&amp;H7="8.1","", " (PPST " &amp; H7 &amp; ")"),""),"")</f>
        <v/>
      </c>
      <c r="B7" s="383" t="str">
        <f>IFERROR(IF(PART1_locked,
IF(AND(teacher_type="R",career_stage="P"), VLOOKUP(M7,RPI[[Strand]:[PPST Indicators]],2,FALSE),
IF(AND(teacher_type="R",career_stage="HP"), VLOOKUP(M7,RHPI[[Strand]:[PPST Indicators]],2,FALSE),
IF(AND(teacher_type="TB",career_stage="P"), VLOOKUP(M7,TBPI[[Strand]:[PPST Indicators]],2,FALSE),
IF(AND(teacher_type="TB",career_stage="HP"), VLOOKUP(M7,TBHPI[[Strand]:[PPST Indicators]],2,FALSE),""))))
&amp; IF(""&amp;M7="8.1","", " (PPST " &amp; M7 &amp; ")"),""),"")</f>
        <v/>
      </c>
      <c r="C7" s="448" t="s">
        <v>1997</v>
      </c>
      <c r="D7" s="448" t="s">
        <v>1998</v>
      </c>
      <c r="E7" s="449" t="s">
        <v>1999</v>
      </c>
      <c r="F7" s="449" t="s">
        <v>2000</v>
      </c>
      <c r="G7" s="374"/>
      <c r="H7" s="374" t="str">
        <f t="array" ref="H7">IFERROR(INDEX(tbl_part1[objective_code],SMALL(IF(ISNUMBER(MATCH(tbl_part1[average],I7,0)),MATCH(ROW(tbl_part1[average]),ROW(tbl_part1[average])),""),K7)),"")</f>
        <v>1.1.2</v>
      </c>
      <c r="I7" s="378">
        <f>IF(AND(J6&lt;&gt;"",OR(ROW()-ROW(I$6)&lt;=3,COUNTIF(I$6:I6,I6)&lt;&gt;J6)),LARGE(tbl_part1[average],ROW()-ROW(I$6)),"")</f>
        <v>5</v>
      </c>
      <c r="J7" s="377">
        <f>IF(I7="","",COUNTIF(tbl_part1[average],I7))</f>
        <v>8</v>
      </c>
      <c r="K7" s="377">
        <f>IF(I7="","",COUNTIF(I$7:I7,I7))</f>
        <v>1</v>
      </c>
      <c r="L7" s="377"/>
      <c r="M7" s="377" t="str">
        <f t="array" ref="M7">IFERROR(INDEX(tbl_part1[objective_code],SMALL(IF(ISNUMBER(MATCH(tbl_part1[average],N7,0)),MATCH(ROW(tbl_part1[average]),ROW(tbl_part1[average])),""),P7)),"")</f>
        <v>7.3.2</v>
      </c>
      <c r="N7" s="378">
        <f>IF(AND(O6&lt;&gt;"",OR(ROW()-ROW(N$6)&lt;=3,COUNTIF(N$6:N6,N6)&lt;&gt;O6)),SMALL(tbl_part1[average],ROW()-ROW(N$6)),"")</f>
        <v>3.5</v>
      </c>
      <c r="O7" s="377">
        <f>IF(N7="","",COUNTIF(tbl_part1[average],N7))</f>
        <v>1</v>
      </c>
      <c r="P7" s="377">
        <f>IF(N7="","",COUNTIF(N$7:N7,N7))</f>
        <v>1</v>
      </c>
      <c r="R7" s="374" t="b">
        <f t="shared" ref="R7:R23" si="0">OR($M7="", $G7="optional", AND($M7&lt;&gt;"",TRIM(C7)&lt;&gt;""))</f>
        <v>1</v>
      </c>
      <c r="S7" s="374" t="b">
        <f t="shared" ref="S7:S23" si="1">OR($M7="", $G7="optional", AND($M7&lt;&gt;"",TRIM(D7)&lt;&gt;""))</f>
        <v>1</v>
      </c>
      <c r="T7" s="374" t="b">
        <f t="shared" ref="T7:T23" si="2">OR($M7="", $G7="optional", AND($M7&lt;&gt;"",TRIM(E7)&lt;&gt;""))</f>
        <v>1</v>
      </c>
      <c r="U7" s="374" t="b">
        <f t="shared" ref="U7:U23" si="3">OR($M7="", $G7="optional", AND($M7&lt;&gt;"",TRIM(F7)&lt;&gt;""))</f>
        <v>1</v>
      </c>
    </row>
    <row r="8" spans="1:21" ht="75" x14ac:dyDescent="0.25">
      <c r="A8" s="384" t="str">
        <f>IFERROR(IF(PART1_locked,
IF(AND(teacher_type="R",career_stage="P"), VLOOKUP(H8,RPI[[Strand]:[PPST Indicators]],2,FALSE),
IF(AND(teacher_type="R",career_stage="HP"), VLOOKUP(H8,RHPI[[Strand]:[PPST Indicators]],2,FALSE),
IF(AND(teacher_type="TB",career_stage="P"), VLOOKUP(H8,TBPI[[Strand]:[PPST Indicators]],2,FALSE),
IF(AND(teacher_type="TB",career_stage="HP"), VLOOKUP(H8,TBHPI[[Strand]:[PPST Indicators]],2,FALSE),""))))
&amp; IF(""&amp;H8="8.1","", " (PPST " &amp; H8 &amp; ")"),""),"")</f>
        <v/>
      </c>
      <c r="B8" s="384" t="str">
        <f>IFERROR(IF(PART1_locked,
IF(AND(teacher_type="R",career_stage="P"), VLOOKUP(M8,RPI[[Strand]:[PPST Indicators]],2,FALSE),
IF(AND(teacher_type="R",career_stage="HP"), VLOOKUP(M8,RHPI[[Strand]:[PPST Indicators]],2,FALSE),
IF(AND(teacher_type="TB",career_stage="P"), VLOOKUP(M8,TBPI[[Strand]:[PPST Indicators]],2,FALSE),
IF(AND(teacher_type="TB",career_stage="HP"), VLOOKUP(M8,TBHPI[[Strand]:[PPST Indicators]],2,FALSE),""))))
&amp; IF(""&amp;M8="8.1","", " (PPST " &amp; M8 &amp; ")"),""),"")</f>
        <v/>
      </c>
      <c r="C8" s="450" t="s">
        <v>2003</v>
      </c>
      <c r="D8" s="450" t="s">
        <v>2001</v>
      </c>
      <c r="E8" s="451" t="s">
        <v>1999</v>
      </c>
      <c r="F8" s="451" t="s">
        <v>2002</v>
      </c>
      <c r="G8" s="374"/>
      <c r="H8" s="374" t="str">
        <f t="array" ref="H8">IFERROR(INDEX(tbl_part1[objective_code],SMALL(IF(ISNUMBER(MATCH(tbl_part1[average],I8,0)),MATCH(ROW(tbl_part1[average]),ROW(tbl_part1[average])),""),K8)),"")</f>
        <v>1.4.2</v>
      </c>
      <c r="I8" s="378">
        <f>IF(AND(J7&lt;&gt;"",OR(ROW()-ROW(I$6)&lt;=3,COUNTIF(I$6:I7,I7)&lt;&gt;J7)),LARGE(tbl_part1[average],ROW()-ROW(I$6)),"")</f>
        <v>5</v>
      </c>
      <c r="J8" s="377">
        <f>IF(I8="","",COUNTIF(tbl_part1[average],I8))</f>
        <v>8</v>
      </c>
      <c r="K8" s="377">
        <f>IF(I8="","",COUNTIF(I$7:I8,I8))</f>
        <v>2</v>
      </c>
      <c r="L8" s="377"/>
      <c r="M8" s="377" t="str">
        <f t="array" ref="M8">IFERROR(INDEX(tbl_part1[objective_code],SMALL(IF(ISNUMBER(MATCH(tbl_part1[average],N8,0)),MATCH(ROW(tbl_part1[average]),ROW(tbl_part1[average])),""),P8)),"")</f>
        <v>7.4.2</v>
      </c>
      <c r="N8" s="378">
        <f>IF(AND(O7&lt;&gt;"",OR(ROW()-ROW(N$6)&lt;=3,COUNTIF(N$6:N7,N7)&lt;&gt;O7)),SMALL(tbl_part1[average],ROW()-ROW(N$6)),"")</f>
        <v>3.6659999999999999</v>
      </c>
      <c r="O8" s="377">
        <f>IF(N8="","",COUNTIF(tbl_part1[average],N8))</f>
        <v>2</v>
      </c>
      <c r="P8" s="377">
        <f>IF(N8="","",COUNTIF(N$7:N8,N8))</f>
        <v>1</v>
      </c>
      <c r="R8" s="374" t="b">
        <f t="shared" si="0"/>
        <v>1</v>
      </c>
      <c r="S8" s="374" t="b">
        <f t="shared" si="1"/>
        <v>1</v>
      </c>
      <c r="T8" s="374" t="b">
        <f t="shared" si="2"/>
        <v>1</v>
      </c>
      <c r="U8" s="374" t="b">
        <f t="shared" si="3"/>
        <v>1</v>
      </c>
    </row>
    <row r="9" spans="1:21" ht="135" x14ac:dyDescent="0.25">
      <c r="A9" s="384" t="str">
        <f>IFERROR(IF(PART1_locked,
IF(AND(teacher_type="R",career_stage="P"), VLOOKUP(H9,RPI[[Strand]:[PPST Indicators]],2,FALSE),
IF(AND(teacher_type="R",career_stage="HP"), VLOOKUP(H9,RHPI[[Strand]:[PPST Indicators]],2,FALSE),
IF(AND(teacher_type="TB",career_stage="P"), VLOOKUP(H9,TBPI[[Strand]:[PPST Indicators]],2,FALSE),
IF(AND(teacher_type="TB",career_stage="HP"), VLOOKUP(H9,TBHPI[[Strand]:[PPST Indicators]],2,FALSE),""))))
&amp; IF(""&amp;H9="8.1","", " (PPST " &amp; H9 &amp; ")"),""),"")</f>
        <v/>
      </c>
      <c r="B9" s="384" t="str">
        <f>IFERROR(IF(PART1_locked,
IF(AND(teacher_type="R",career_stage="P"), VLOOKUP(M9,RPI[[Strand]:[PPST Indicators]],2,FALSE),
IF(AND(teacher_type="R",career_stage="HP"), VLOOKUP(M9,RHPI[[Strand]:[PPST Indicators]],2,FALSE),
IF(AND(teacher_type="TB",career_stage="P"), VLOOKUP(M9,TBPI[[Strand]:[PPST Indicators]],2,FALSE),
IF(AND(teacher_type="TB",career_stage="HP"), VLOOKUP(M9,TBHPI[[Strand]:[PPST Indicators]],2,FALSE),""))))
&amp; IF(""&amp;M9="8.1","", " (PPST " &amp; M9 &amp; ")"),""),"")</f>
        <v/>
      </c>
      <c r="C9" s="450" t="s">
        <v>2004</v>
      </c>
      <c r="D9" s="450" t="s">
        <v>2005</v>
      </c>
      <c r="E9" s="451" t="s">
        <v>1999</v>
      </c>
      <c r="F9" s="451" t="s">
        <v>2006</v>
      </c>
      <c r="G9" s="374"/>
      <c r="H9" s="374" t="str">
        <f t="array" ref="H9">IFERROR(INDEX(tbl_part1[objective_code],SMALL(IF(ISNUMBER(MATCH(tbl_part1[average],I9,0)),MATCH(ROW(tbl_part1[average]),ROW(tbl_part1[average])),""),K9)),"")</f>
        <v>1.6.2</v>
      </c>
      <c r="I9" s="378">
        <f>IF(AND(J8&lt;&gt;"",OR(ROW()-ROW(I$6)&lt;=3,COUNTIF(I$6:I8,I8)&lt;&gt;J8)),LARGE(tbl_part1[average],ROW()-ROW(I$6)),"")</f>
        <v>5</v>
      </c>
      <c r="J9" s="377">
        <f>IF(I9="","",COUNTIF(tbl_part1[average],I9))</f>
        <v>8</v>
      </c>
      <c r="K9" s="377">
        <f>IF(I9="","",COUNTIF(I$7:I9,I9))</f>
        <v>3</v>
      </c>
      <c r="L9" s="377"/>
      <c r="M9" s="377">
        <f t="array" ref="M9">IFERROR(INDEX(tbl_part1[objective_code],SMALL(IF(ISNUMBER(MATCH(tbl_part1[average],N9,0)),MATCH(ROW(tbl_part1[average]),ROW(tbl_part1[average])),""),P9)),"")</f>
        <v>15</v>
      </c>
      <c r="N9" s="378">
        <f>IF(AND(O8&lt;&gt;"",OR(ROW()-ROW(N$6)&lt;=3,COUNTIF(N$6:N8,N8)&lt;&gt;O8)),SMALL(tbl_part1[average],ROW()-ROW(N$6)),"")</f>
        <v>3.6659999999999999</v>
      </c>
      <c r="O9" s="377">
        <f>IF(N9="","",COUNTIF(tbl_part1[average],N9))</f>
        <v>2</v>
      </c>
      <c r="P9" s="377">
        <f>IF(N9="","",COUNTIF(N$7:N9,N9))</f>
        <v>2</v>
      </c>
      <c r="R9" s="374" t="b">
        <f t="shared" si="0"/>
        <v>1</v>
      </c>
      <c r="S9" s="374" t="b">
        <f t="shared" si="1"/>
        <v>1</v>
      </c>
      <c r="T9" s="374" t="b">
        <f t="shared" si="2"/>
        <v>1</v>
      </c>
      <c r="U9" s="374" t="b">
        <f t="shared" si="3"/>
        <v>1</v>
      </c>
    </row>
    <row r="10" spans="1:21" ht="45" x14ac:dyDescent="0.25">
      <c r="A10" s="384" t="str">
        <f>IFERROR(IF(PART1_locked,
IF(AND(teacher_type="R",career_stage="P"), VLOOKUP(H10,RPI[[Strand]:[PPST Indicators]],2,FALSE),
IF(AND(teacher_type="R",career_stage="HP"), VLOOKUP(H10,RHPI[[Strand]:[PPST Indicators]],2,FALSE),
IF(AND(teacher_type="TB",career_stage="P"), VLOOKUP(H10,TBPI[[Strand]:[PPST Indicators]],2,FALSE),
IF(AND(teacher_type="TB",career_stage="HP"), VLOOKUP(H10,TBHPI[[Strand]:[PPST Indicators]],2,FALSE),""))))
&amp; IF(""&amp;H10="8.1","", " (PPST " &amp; H10 &amp; ")"),""),"")</f>
        <v/>
      </c>
      <c r="B10" s="384" t="str">
        <f>IFERROR(IF(PART1_locked,
IF(AND(teacher_type="R",career_stage="P"), VLOOKUP(M10,RPI[[Strand]:[PPST Indicators]],2,FALSE),
IF(AND(teacher_type="R",career_stage="HP"), VLOOKUP(M10,RHPI[[Strand]:[PPST Indicators]],2,FALSE),
IF(AND(teacher_type="TB",career_stage="P"), VLOOKUP(M10,TBPI[[Strand]:[PPST Indicators]],2,FALSE),
IF(AND(teacher_type="TB",career_stage="HP"), VLOOKUP(M10,TBHPI[[Strand]:[PPST Indicators]],2,FALSE),""))))
&amp; IF(""&amp;M10="8.1","", " (PPST " &amp; M10 &amp; ")"),""),"")</f>
        <v/>
      </c>
      <c r="C10" s="450" t="s">
        <v>2007</v>
      </c>
      <c r="D10" s="450" t="s">
        <v>2008</v>
      </c>
      <c r="E10" s="451" t="s">
        <v>1999</v>
      </c>
      <c r="F10" s="451" t="s">
        <v>2009</v>
      </c>
      <c r="G10" s="381" t="str">
        <f t="shared" ref="G10:G16" si="4">IF(AND(PART1_locked,M10&lt;&gt;""),"optional","")</f>
        <v/>
      </c>
      <c r="H10" s="374" t="str">
        <f t="array" ref="H10">IFERROR(INDEX(tbl_part1[objective_code],SMALL(IF(ISNUMBER(MATCH(tbl_part1[average],I10,0)),MATCH(ROW(tbl_part1[average]),ROW(tbl_part1[average])),""),K10)),"")</f>
        <v>2.1.2</v>
      </c>
      <c r="I10" s="378">
        <f>IF(AND(J9&lt;&gt;"",OR(ROW()-ROW(I$6)&lt;=3,COUNTIF(I$6:I9,I9)&lt;&gt;J9)),LARGE(tbl_part1[average],ROW()-ROW(I$6)),"")</f>
        <v>5</v>
      </c>
      <c r="J10" s="377">
        <f>IF(I10="","",COUNTIF(tbl_part1[average],I10))</f>
        <v>8</v>
      </c>
      <c r="K10" s="377">
        <f>IF(I10="","",COUNTIF(I$7:I10,I10))</f>
        <v>4</v>
      </c>
      <c r="L10" s="377"/>
      <c r="M10" s="377" t="str">
        <f t="array" ref="M10">IFERROR(INDEX(tbl_part1[objective_code],SMALL(IF(ISNUMBER(MATCH(tbl_part1[average],N10,0)),MATCH(ROW(tbl_part1[average]),ROW(tbl_part1[average])),""),P10)),"")</f>
        <v/>
      </c>
      <c r="N10" s="378" t="str">
        <f>IF(AND(O9&lt;&gt;"",OR(ROW()-ROW(N$6)&lt;=3,COUNTIF(N$6:N9,N9)&lt;&gt;O9)),SMALL(tbl_part1[average],ROW()-ROW(N$6)),"")</f>
        <v/>
      </c>
      <c r="O10" s="377" t="str">
        <f>IF(N10="","",COUNTIF(tbl_part1[average],N10))</f>
        <v/>
      </c>
      <c r="P10" s="377" t="str">
        <f>IF(N10="","",COUNTIF(N$7:N10,N10))</f>
        <v/>
      </c>
      <c r="R10" s="374" t="b">
        <f>OR($M10="", $G10="optional", AND($M10&lt;&gt;"",TRIM(C10)&lt;&gt;""))</f>
        <v>1</v>
      </c>
      <c r="S10" s="374" t="b">
        <f t="shared" si="1"/>
        <v>1</v>
      </c>
      <c r="T10" s="374" t="b">
        <f t="shared" si="2"/>
        <v>1</v>
      </c>
      <c r="U10" s="374" t="b">
        <f t="shared" si="3"/>
        <v>1</v>
      </c>
    </row>
    <row r="11" spans="1:21" x14ac:dyDescent="0.25">
      <c r="A11" s="384" t="str">
        <f>IFERROR(IF(PART1_locked,
IF(AND(teacher_type="R",career_stage="P"), VLOOKUP(H11,RPI[[Strand]:[PPST Indicators]],2,FALSE),
IF(AND(teacher_type="R",career_stage="HP"), VLOOKUP(H11,RHPI[[Strand]:[PPST Indicators]],2,FALSE),
IF(AND(teacher_type="TB",career_stage="P"), VLOOKUP(H11,TBPI[[Strand]:[PPST Indicators]],2,FALSE),
IF(AND(teacher_type="TB",career_stage="HP"), VLOOKUP(H11,TBHPI[[Strand]:[PPST Indicators]],2,FALSE),""))))
&amp; IF(""&amp;H11="8.1","", " (PPST " &amp; H11 &amp; ")"),""),"")</f>
        <v/>
      </c>
      <c r="B11" s="384" t="str">
        <f>IFERROR(IF(PART1_locked,
IF(AND(teacher_type="R",career_stage="P"), VLOOKUP(M11,RPI[[Strand]:[PPST Indicators]],2,FALSE),
IF(AND(teacher_type="R",career_stage="HP"), VLOOKUP(M11,RHPI[[Strand]:[PPST Indicators]],2,FALSE),
IF(AND(teacher_type="TB",career_stage="P"), VLOOKUP(M11,TBPI[[Strand]:[PPST Indicators]],2,FALSE),
IF(AND(teacher_type="TB",career_stage="HP"), VLOOKUP(M11,TBHPI[[Strand]:[PPST Indicators]],2,FALSE),""))))
&amp; IF(""&amp;M11="8.1","", " (PPST " &amp; M11 &amp; ")"),""),"")</f>
        <v/>
      </c>
      <c r="C11" s="452"/>
      <c r="D11" s="452"/>
      <c r="E11" s="451"/>
      <c r="F11" s="451"/>
      <c r="G11" s="381" t="str">
        <f t="shared" si="4"/>
        <v/>
      </c>
      <c r="H11" s="374" t="str">
        <f t="array" ref="H11">IFERROR(INDEX(tbl_part1[objective_code],SMALL(IF(ISNUMBER(MATCH(tbl_part1[average],I11,0)),MATCH(ROW(tbl_part1[average]),ROW(tbl_part1[average])),""),K11)),"")</f>
        <v>2.2.2</v>
      </c>
      <c r="I11" s="378">
        <f>IF(AND(J10&lt;&gt;"",OR(ROW()-ROW(I$6)&lt;=3,COUNTIF(I$6:I10,I10)&lt;&gt;J10)),LARGE(tbl_part1[average],ROW()-ROW(I$6)),"")</f>
        <v>5</v>
      </c>
      <c r="J11" s="377">
        <f>IF(I11="","",COUNTIF(tbl_part1[average],I11))</f>
        <v>8</v>
      </c>
      <c r="K11" s="377">
        <f>IF(I11="","",COUNTIF(I$7:I11,I11))</f>
        <v>5</v>
      </c>
      <c r="L11" s="377"/>
      <c r="M11" s="377" t="str">
        <f t="array" ref="M11">IFERROR(INDEX(tbl_part1[objective_code],SMALL(IF(ISNUMBER(MATCH(tbl_part1[average],N11,0)),MATCH(ROW(tbl_part1[average]),ROW(tbl_part1[average])),""),P11)),"")</f>
        <v/>
      </c>
      <c r="N11" s="378" t="str">
        <f>IF(AND(O10&lt;&gt;"",OR(ROW()-ROW(N$6)&lt;=3,COUNTIF(N$6:N10,N10)&lt;&gt;O10)),SMALL(tbl_part1[average],ROW()-ROW(N$6)),"")</f>
        <v/>
      </c>
      <c r="O11" s="377" t="str">
        <f>IF(N11="","",COUNTIF(tbl_part1[average],N11))</f>
        <v/>
      </c>
      <c r="P11" s="377" t="str">
        <f>IF(N11="","",COUNTIF(N$7:N11,N11))</f>
        <v/>
      </c>
      <c r="R11" s="374" t="b">
        <f t="shared" si="0"/>
        <v>1</v>
      </c>
      <c r="S11" s="374" t="b">
        <f t="shared" si="1"/>
        <v>1</v>
      </c>
      <c r="T11" s="374" t="b">
        <f t="shared" si="2"/>
        <v>1</v>
      </c>
      <c r="U11" s="374" t="b">
        <f t="shared" si="3"/>
        <v>1</v>
      </c>
    </row>
    <row r="12" spans="1:21" x14ac:dyDescent="0.25">
      <c r="A12" s="384" t="str">
        <f>IFERROR(IF(PART1_locked,
IF(AND(teacher_type="R",career_stage="P"), VLOOKUP(H12,RPI[[Strand]:[PPST Indicators]],2,FALSE),
IF(AND(teacher_type="R",career_stage="HP"), VLOOKUP(H12,RHPI[[Strand]:[PPST Indicators]],2,FALSE),
IF(AND(teacher_type="TB",career_stage="P"), VLOOKUP(H12,TBPI[[Strand]:[PPST Indicators]],2,FALSE),
IF(AND(teacher_type="TB",career_stage="HP"), VLOOKUP(H12,TBHPI[[Strand]:[PPST Indicators]],2,FALSE),""))))
&amp; IF(""&amp;H12="8.1","", " (PPST " &amp; H12 &amp; ")"),""),"")</f>
        <v/>
      </c>
      <c r="B12" s="384" t="str">
        <f>IFERROR(IF(PART1_locked,
IF(AND(teacher_type="R",career_stage="P"), VLOOKUP(M12,RPI[[Strand]:[PPST Indicators]],2,FALSE),
IF(AND(teacher_type="R",career_stage="HP"), VLOOKUP(M12,RHPI[[Strand]:[PPST Indicators]],2,FALSE),
IF(AND(teacher_type="TB",career_stage="P"), VLOOKUP(M12,TBPI[[Strand]:[PPST Indicators]],2,FALSE),
IF(AND(teacher_type="TB",career_stage="HP"), VLOOKUP(M12,TBHPI[[Strand]:[PPST Indicators]],2,FALSE),""))))
&amp; IF(""&amp;M12="8.1","", " (PPST " &amp; M12 &amp; ")"),""),"")</f>
        <v/>
      </c>
      <c r="C12" s="452"/>
      <c r="D12" s="452"/>
      <c r="E12" s="451"/>
      <c r="F12" s="451"/>
      <c r="G12" s="381" t="str">
        <f t="shared" si="4"/>
        <v/>
      </c>
      <c r="H12" s="374" t="str">
        <f t="array" ref="H12">IFERROR(INDEX(tbl_part1[objective_code],SMALL(IF(ISNUMBER(MATCH(tbl_part1[average],I12,0)),MATCH(ROW(tbl_part1[average]),ROW(tbl_part1[average])),""),K12)),"")</f>
        <v>3.2.2</v>
      </c>
      <c r="I12" s="378">
        <f>IF(AND(J11&lt;&gt;"",OR(ROW()-ROW(I$6)&lt;=3,COUNTIF(I$6:I11,I11)&lt;&gt;J11)),LARGE(tbl_part1[average],ROW()-ROW(I$6)),"")</f>
        <v>5</v>
      </c>
      <c r="J12" s="377">
        <f>IF(I12="","",COUNTIF(tbl_part1[average],I12))</f>
        <v>8</v>
      </c>
      <c r="K12" s="377">
        <f>IF(I12="","",COUNTIF(I$7:I12,I12))</f>
        <v>6</v>
      </c>
      <c r="L12" s="377"/>
      <c r="M12" s="377" t="str">
        <f t="array" ref="M12">IFERROR(INDEX(tbl_part1[objective_code],SMALL(IF(ISNUMBER(MATCH(tbl_part1[average],N12,0)),MATCH(ROW(tbl_part1[average]),ROW(tbl_part1[average])),""),P12)),"")</f>
        <v/>
      </c>
      <c r="N12" s="378" t="str">
        <f>IF(AND(O11&lt;&gt;"",OR(ROW()-ROW(N$6)&lt;=3,COUNTIF(N$6:N11,N11)&lt;&gt;O11)),SMALL(tbl_part1[average],ROW()-ROW(N$6)),"")</f>
        <v/>
      </c>
      <c r="O12" s="377" t="str">
        <f>IF(N12="","",COUNTIF(tbl_part1[average],N12))</f>
        <v/>
      </c>
      <c r="P12" s="377" t="str">
        <f>IF(N12="","",COUNTIF(N$7:N12,N12))</f>
        <v/>
      </c>
      <c r="R12" s="374" t="b">
        <f t="shared" si="0"/>
        <v>1</v>
      </c>
      <c r="S12" s="374" t="b">
        <f t="shared" si="1"/>
        <v>1</v>
      </c>
      <c r="T12" s="374" t="b">
        <f t="shared" si="2"/>
        <v>1</v>
      </c>
      <c r="U12" s="374" t="b">
        <f t="shared" si="3"/>
        <v>1</v>
      </c>
    </row>
    <row r="13" spans="1:21" x14ac:dyDescent="0.25">
      <c r="A13" s="384" t="str">
        <f>IFERROR(IF(PART1_locked,
IF(AND(teacher_type="R",career_stage="P"), VLOOKUP(H13,RPI[[Strand]:[PPST Indicators]],2,FALSE),
IF(AND(teacher_type="R",career_stage="HP"), VLOOKUP(H13,RHPI[[Strand]:[PPST Indicators]],2,FALSE),
IF(AND(teacher_type="TB",career_stage="P"), VLOOKUP(H13,TBPI[[Strand]:[PPST Indicators]],2,FALSE),
IF(AND(teacher_type="TB",career_stage="HP"), VLOOKUP(H13,TBHPI[[Strand]:[PPST Indicators]],2,FALSE),""))))
&amp; IF(""&amp;H13="8.1","", " (PPST " &amp; H13 &amp; ")"),""),"")</f>
        <v/>
      </c>
      <c r="B13" s="384" t="str">
        <f>IFERROR(IF(PART1_locked,
IF(AND(teacher_type="R",career_stage="P"), VLOOKUP(M13,RPI[[Strand]:[PPST Indicators]],2,FALSE),
IF(AND(teacher_type="R",career_stage="HP"), VLOOKUP(M13,RHPI[[Strand]:[PPST Indicators]],2,FALSE),
IF(AND(teacher_type="TB",career_stage="P"), VLOOKUP(M13,TBPI[[Strand]:[PPST Indicators]],2,FALSE),
IF(AND(teacher_type="TB",career_stage="HP"), VLOOKUP(M13,TBHPI[[Strand]:[PPST Indicators]],2,FALSE),""))))
&amp; IF(""&amp;M13="8.1","", " (PPST " &amp; M13 &amp; ")"),""),"")</f>
        <v/>
      </c>
      <c r="C13" s="452"/>
      <c r="D13" s="452"/>
      <c r="E13" s="451"/>
      <c r="F13" s="451"/>
      <c r="G13" s="381" t="str">
        <f t="shared" si="4"/>
        <v/>
      </c>
      <c r="H13" s="374" t="str">
        <f t="array" ref="H13">IFERROR(INDEX(tbl_part1[objective_code],SMALL(IF(ISNUMBER(MATCH(tbl_part1[average],I13,0)),MATCH(ROW(tbl_part1[average]),ROW(tbl_part1[average])),""),K13)),"")</f>
        <v>3.5.2</v>
      </c>
      <c r="I13" s="378">
        <f>IF(AND(J12&lt;&gt;"",OR(ROW()-ROW(I$6)&lt;=3,COUNTIF(I$6:I12,I12)&lt;&gt;J12)),LARGE(tbl_part1[average],ROW()-ROW(I$6)),"")</f>
        <v>5</v>
      </c>
      <c r="J13" s="377">
        <f>IF(I13="","",COUNTIF(tbl_part1[average],I13))</f>
        <v>8</v>
      </c>
      <c r="K13" s="377">
        <f>IF(I13="","",COUNTIF(I$7:I13,I13))</f>
        <v>7</v>
      </c>
      <c r="L13" s="377"/>
      <c r="M13" s="377" t="str">
        <f t="array" ref="M13">IFERROR(INDEX(tbl_part1[objective_code],SMALL(IF(ISNUMBER(MATCH(tbl_part1[average],N13,0)),MATCH(ROW(tbl_part1[average]),ROW(tbl_part1[average])),""),P13)),"")</f>
        <v/>
      </c>
      <c r="N13" s="378" t="str">
        <f>IF(AND(O12&lt;&gt;"",OR(ROW()-ROW(N$6)&lt;=3,COUNTIF(N$6:N12,N12)&lt;&gt;O12)),SMALL(tbl_part1[average],ROW()-ROW(N$6)),"")</f>
        <v/>
      </c>
      <c r="O13" s="377" t="str">
        <f>IF(N13="","",COUNTIF(tbl_part1[average],N13))</f>
        <v/>
      </c>
      <c r="P13" s="377" t="str">
        <f>IF(N13="","",COUNTIF(N$7:N13,N13))</f>
        <v/>
      </c>
      <c r="R13" s="374" t="b">
        <f t="shared" si="0"/>
        <v>1</v>
      </c>
      <c r="S13" s="374" t="b">
        <f t="shared" si="1"/>
        <v>1</v>
      </c>
      <c r="T13" s="374" t="b">
        <f t="shared" si="2"/>
        <v>1</v>
      </c>
      <c r="U13" s="374" t="b">
        <f t="shared" si="3"/>
        <v>1</v>
      </c>
    </row>
    <row r="14" spans="1:21" x14ac:dyDescent="0.25">
      <c r="A14" s="384" t="str">
        <f>IFERROR(IF(PART1_locked,
IF(AND(teacher_type="R",career_stage="P"), VLOOKUP(H14,RPI[[Strand]:[PPST Indicators]],2,FALSE),
IF(AND(teacher_type="R",career_stage="HP"), VLOOKUP(H14,RHPI[[Strand]:[PPST Indicators]],2,FALSE),
IF(AND(teacher_type="TB",career_stage="P"), VLOOKUP(H14,TBPI[[Strand]:[PPST Indicators]],2,FALSE),
IF(AND(teacher_type="TB",career_stage="HP"), VLOOKUP(H14,TBHPI[[Strand]:[PPST Indicators]],2,FALSE),""))))
&amp; IF(""&amp;H14="8.1","", " (PPST " &amp; H14 &amp; ")"),""),"")</f>
        <v/>
      </c>
      <c r="B14" s="384" t="str">
        <f>IFERROR(IF(PART1_locked,
IF(AND(teacher_type="R",career_stage="P"), VLOOKUP(M14,RPI[[Strand]:[PPST Indicators]],2,FALSE),
IF(AND(teacher_type="R",career_stage="HP"), VLOOKUP(M14,RHPI[[Strand]:[PPST Indicators]],2,FALSE),
IF(AND(teacher_type="TB",career_stage="P"), VLOOKUP(M14,TBPI[[Strand]:[PPST Indicators]],2,FALSE),
IF(AND(teacher_type="TB",career_stage="HP"), VLOOKUP(M14,TBHPI[[Strand]:[PPST Indicators]],2,FALSE),""))))
&amp; IF(""&amp;M14="8.1","", " (PPST " &amp; M14 &amp; ")"),""),"")</f>
        <v/>
      </c>
      <c r="C14" s="452"/>
      <c r="D14" s="452"/>
      <c r="E14" s="451"/>
      <c r="F14" s="451"/>
      <c r="G14" s="381" t="str">
        <f t="shared" si="4"/>
        <v/>
      </c>
      <c r="H14" s="374" t="str">
        <f t="array" ref="H14">IFERROR(INDEX(tbl_part1[objective_code],SMALL(IF(ISNUMBER(MATCH(tbl_part1[average],I14,0)),MATCH(ROW(tbl_part1[average]),ROW(tbl_part1[average])),""),K14)),"")</f>
        <v>5.3.2</v>
      </c>
      <c r="I14" s="378">
        <f>IF(AND(J13&lt;&gt;"",OR(ROW()-ROW(I$6)&lt;=3,COUNTIF(I$6:I13,I13)&lt;&gt;J13)),LARGE(tbl_part1[average],ROW()-ROW(I$6)),"")</f>
        <v>5</v>
      </c>
      <c r="J14" s="377">
        <f>IF(I14="","",COUNTIF(tbl_part1[average],I14))</f>
        <v>8</v>
      </c>
      <c r="K14" s="377">
        <f>IF(I14="","",COUNTIF(I$7:I14,I14))</f>
        <v>8</v>
      </c>
      <c r="L14" s="377"/>
      <c r="M14" s="377" t="str">
        <f t="array" ref="M14">IFERROR(INDEX(tbl_part1[objective_code],SMALL(IF(ISNUMBER(MATCH(tbl_part1[average],N14,0)),MATCH(ROW(tbl_part1[average]),ROW(tbl_part1[average])),""),P14)),"")</f>
        <v/>
      </c>
      <c r="N14" s="378" t="str">
        <f>IF(AND(O13&lt;&gt;"",OR(ROW()-ROW(N$6)&lt;=3,COUNTIF(N$6:N13,N13)&lt;&gt;O13)),SMALL(tbl_part1[average],ROW()-ROW(N$6)),"")</f>
        <v/>
      </c>
      <c r="O14" s="377" t="str">
        <f>IF(N14="","",COUNTIF(tbl_part1[average],N14))</f>
        <v/>
      </c>
      <c r="P14" s="377" t="str">
        <f>IF(N14="","",COUNTIF(N$7:N14,N14))</f>
        <v/>
      </c>
      <c r="R14" s="374" t="b">
        <f t="shared" si="0"/>
        <v>1</v>
      </c>
      <c r="S14" s="374" t="b">
        <f t="shared" si="1"/>
        <v>1</v>
      </c>
      <c r="T14" s="374" t="b">
        <f t="shared" si="2"/>
        <v>1</v>
      </c>
      <c r="U14" s="374" t="b">
        <f t="shared" si="3"/>
        <v>1</v>
      </c>
    </row>
    <row r="15" spans="1:21" x14ac:dyDescent="0.25">
      <c r="A15" s="384" t="str">
        <f>IFERROR(IF(PART1_locked,
IF(AND(teacher_type="R",career_stage="P"), VLOOKUP(H15,RPI[[Strand]:[PPST Indicators]],2,FALSE),
IF(AND(teacher_type="R",career_stage="HP"), VLOOKUP(H15,RHPI[[Strand]:[PPST Indicators]],2,FALSE),
IF(AND(teacher_type="TB",career_stage="P"), VLOOKUP(H15,TBPI[[Strand]:[PPST Indicators]],2,FALSE),
IF(AND(teacher_type="TB",career_stage="HP"), VLOOKUP(H15,TBHPI[[Strand]:[PPST Indicators]],2,FALSE),""))))
&amp; IF(""&amp;H15="8.1","", " (PPST " &amp; H15 &amp; ")"),""),"")</f>
        <v/>
      </c>
      <c r="B15" s="384" t="str">
        <f>IFERROR(IF(PART1_locked,
IF(AND(teacher_type="R",career_stage="P"), VLOOKUP(M15,RPI[[Strand]:[PPST Indicators]],2,FALSE),
IF(AND(teacher_type="R",career_stage="HP"), VLOOKUP(M15,RHPI[[Strand]:[PPST Indicators]],2,FALSE),
IF(AND(teacher_type="TB",career_stage="P"), VLOOKUP(M15,TBPI[[Strand]:[PPST Indicators]],2,FALSE),
IF(AND(teacher_type="TB",career_stage="HP"), VLOOKUP(M15,TBHPI[[Strand]:[PPST Indicators]],2,FALSE),""))))
&amp; IF(""&amp;M15="8.1","", " (PPST " &amp; M15 &amp; ")"),""),"")</f>
        <v/>
      </c>
      <c r="C15" s="452"/>
      <c r="D15" s="452"/>
      <c r="E15" s="451"/>
      <c r="F15" s="451"/>
      <c r="G15" s="381" t="str">
        <f t="shared" si="4"/>
        <v/>
      </c>
      <c r="H15" s="374" t="str">
        <f t="array" ref="H15">IFERROR(INDEX(tbl_part1[objective_code],SMALL(IF(ISNUMBER(MATCH(tbl_part1[average],I15,0)),MATCH(ROW(tbl_part1[average]),ROW(tbl_part1[average])),""),K15)),"")</f>
        <v/>
      </c>
      <c r="I15" s="378" t="str">
        <f>IF(AND(J14&lt;&gt;"",OR(ROW()-ROW(I$6)&lt;=3,COUNTIF(I$6:I14,I14)&lt;&gt;J14)),LARGE(tbl_part1[average],ROW()-ROW(I$6)),"")</f>
        <v/>
      </c>
      <c r="J15" s="377" t="str">
        <f>IF(I15="","",COUNTIF(tbl_part1[average],I15))</f>
        <v/>
      </c>
      <c r="K15" s="377" t="str">
        <f>IF(I15="","",COUNTIF(I$7:I15,I15))</f>
        <v/>
      </c>
      <c r="L15" s="377"/>
      <c r="M15" s="377" t="str">
        <f t="array" ref="M15">IFERROR(INDEX(tbl_part1[objective_code],SMALL(IF(ISNUMBER(MATCH(tbl_part1[average],N15,0)),MATCH(ROW(tbl_part1[average]),ROW(tbl_part1[average])),""),P15)),"")</f>
        <v/>
      </c>
      <c r="N15" s="378" t="str">
        <f>IF(AND(O14&lt;&gt;"",OR(ROW()-ROW(N$6)&lt;=3,COUNTIF(N$6:N14,N14)&lt;&gt;O14)),SMALL(tbl_part1[average],ROW()-ROW(N$6)),"")</f>
        <v/>
      </c>
      <c r="O15" s="377" t="str">
        <f>IF(N15="","",COUNTIF(tbl_part1[average],N15))</f>
        <v/>
      </c>
      <c r="P15" s="377" t="str">
        <f>IF(N15="","",COUNTIF(N$7:N15,N15))</f>
        <v/>
      </c>
      <c r="R15" s="374" t="b">
        <f t="shared" si="0"/>
        <v>1</v>
      </c>
      <c r="S15" s="374" t="b">
        <f t="shared" si="1"/>
        <v>1</v>
      </c>
      <c r="T15" s="374" t="b">
        <f t="shared" si="2"/>
        <v>1</v>
      </c>
      <c r="U15" s="374" t="b">
        <f t="shared" si="3"/>
        <v>1</v>
      </c>
    </row>
    <row r="16" spans="1:21" ht="15.75" thickBot="1" x14ac:dyDescent="0.3">
      <c r="A16" s="385" t="str">
        <f>IFERROR(IF(PART1_locked,
IF(AND(teacher_type="R",career_stage="P"), VLOOKUP(H16,RPI[[Strand]:[PPST Indicators]],2,FALSE),
IF(AND(teacher_type="R",career_stage="HP"), VLOOKUP(H16,RHPI[[Strand]:[PPST Indicators]],2,FALSE),
IF(AND(teacher_type="TB",career_stage="P"), VLOOKUP(H16,TBPI[[Strand]:[PPST Indicators]],2,FALSE),
IF(AND(teacher_type="TB",career_stage="HP"), VLOOKUP(H16,TBHPI[[Strand]:[PPST Indicators]],2,FALSE),""))))
&amp; IF(""&amp;H16="8.1","", " (PPST " &amp; H16 &amp; ")"),""),"")</f>
        <v/>
      </c>
      <c r="B16" s="385" t="str">
        <f>IFERROR(IF(PART1_locked,
IF(AND(teacher_type="R",career_stage="P"), VLOOKUP(M16,RPI[[Strand]:[PPST Indicators]],2,FALSE),
IF(AND(teacher_type="R",career_stage="HP"), VLOOKUP(M16,RHPI[[Strand]:[PPST Indicators]],2,FALSE),
IF(AND(teacher_type="TB",career_stage="P"), VLOOKUP(M16,TBPI[[Strand]:[PPST Indicators]],2,FALSE),
IF(AND(teacher_type="TB",career_stage="HP"), VLOOKUP(M16,TBHPI[[Strand]:[PPST Indicators]],2,FALSE),""))))
&amp; IF(""&amp;M16="8.1","", " (PPST " &amp; M16 &amp; ")"),""),"")</f>
        <v/>
      </c>
      <c r="C16" s="453"/>
      <c r="D16" s="453"/>
      <c r="E16" s="454"/>
      <c r="F16" s="454"/>
      <c r="G16" s="381" t="str">
        <f t="shared" si="4"/>
        <v/>
      </c>
      <c r="H16" s="374" t="str">
        <f t="array" ref="H16">IFERROR(INDEX(tbl_part1[objective_code],SMALL(IF(ISNUMBER(MATCH(tbl_part1[average],I16,0)),MATCH(ROW(tbl_part1[average]),ROW(tbl_part1[average])),""),K16)),"")</f>
        <v/>
      </c>
      <c r="I16" s="378" t="str">
        <f>IF(AND(J15&lt;&gt;"",OR(ROW()-ROW(I$6)&lt;=3,COUNTIF(I$6:I15,I15)&lt;&gt;J15)),LARGE(tbl_part1[average],ROW()-ROW(I$6)),"")</f>
        <v/>
      </c>
      <c r="J16" s="377" t="str">
        <f>IF(I16="","",COUNTIF(tbl_part1[average],I16))</f>
        <v/>
      </c>
      <c r="K16" s="377" t="str">
        <f>IF(I16="","",COUNTIF(I$7:I16,I16))</f>
        <v/>
      </c>
      <c r="L16" s="377"/>
      <c r="M16" s="377" t="str">
        <f t="array" ref="M16">IFERROR(INDEX(tbl_part1[objective_code],SMALL(IF(ISNUMBER(MATCH(tbl_part1[average],N16,0)),MATCH(ROW(tbl_part1[average]),ROW(tbl_part1[average])),""),P16)),"")</f>
        <v/>
      </c>
      <c r="N16" s="378" t="str">
        <f>IF(AND(O15&lt;&gt;"",OR(ROW()-ROW(N$6)&lt;=3,COUNTIF(N$6:N15,N15)&lt;&gt;O15)),SMALL(tbl_part1[average],ROW()-ROW(N$6)),"")</f>
        <v/>
      </c>
      <c r="O16" s="377" t="str">
        <f>IF(N16="","",COUNTIF(tbl_part1[average],N16))</f>
        <v/>
      </c>
      <c r="P16" s="377" t="str">
        <f>IF(N16="","",COUNTIF(N$7:N16,N16))</f>
        <v/>
      </c>
      <c r="R16" s="374" t="b">
        <f t="shared" si="0"/>
        <v>1</v>
      </c>
      <c r="S16" s="374" t="b">
        <f t="shared" si="1"/>
        <v>1</v>
      </c>
      <c r="T16" s="374" t="b">
        <f t="shared" si="2"/>
        <v>1</v>
      </c>
      <c r="U16" s="374" t="b">
        <f t="shared" si="3"/>
        <v>1</v>
      </c>
    </row>
    <row r="17" spans="1:21" ht="16.5" thickBot="1" x14ac:dyDescent="0.3">
      <c r="A17" s="796" t="s">
        <v>1255</v>
      </c>
      <c r="B17" s="797"/>
      <c r="C17" s="797"/>
      <c r="D17" s="797"/>
      <c r="E17" s="797"/>
      <c r="F17" s="798"/>
      <c r="G17" s="374"/>
      <c r="H17" s="50"/>
      <c r="I17" s="375" t="s">
        <v>865</v>
      </c>
      <c r="J17" s="376">
        <v>0</v>
      </c>
      <c r="K17" s="376"/>
      <c r="L17" s="376"/>
      <c r="M17" s="376"/>
      <c r="N17" s="375" t="s">
        <v>865</v>
      </c>
      <c r="O17" s="376">
        <v>0</v>
      </c>
      <c r="P17" s="377"/>
      <c r="R17" s="374" t="b">
        <f t="shared" si="0"/>
        <v>1</v>
      </c>
      <c r="S17" s="374" t="b">
        <f t="shared" si="1"/>
        <v>1</v>
      </c>
      <c r="T17" s="374" t="b">
        <f t="shared" si="2"/>
        <v>1</v>
      </c>
      <c r="U17" s="374" t="b">
        <f t="shared" si="3"/>
        <v>1</v>
      </c>
    </row>
    <row r="18" spans="1:21" ht="15.75" x14ac:dyDescent="0.25">
      <c r="A18" s="386" t="str">
        <f t="shared" ref="A18:A23" si="5">IFERROR(IF(PART2_locked,H18,""),"")</f>
        <v/>
      </c>
      <c r="B18" s="432" t="str">
        <f t="shared" ref="B18:B23" si="6">IFERROR(IF(PART2_locked,M18,""),"")</f>
        <v/>
      </c>
      <c r="C18" s="449"/>
      <c r="D18" s="455"/>
      <c r="E18" s="455"/>
      <c r="F18" s="455"/>
      <c r="G18" s="374"/>
      <c r="H18" s="50" t="str">
        <f t="array" ref="H18">IFERROR(INDEX($H$30:$H$35,SMALL(IF(ISNUMBER(MATCH($I$30:$I$35,I18,0)),MATCH(ROW($I$30:$I$35),ROW($I$30:$I$35)),""),K18)),"")</f>
        <v>Self-Management</v>
      </c>
      <c r="I18" s="379">
        <f>IF(AND(J17&lt;&gt;"",OR(ROW()-ROW(I$17)&lt;=3,COUNTIF(I$17:I17,I17)&lt;&gt;J17)),LARGE($I$30:$I$35,ROW()-ROW(I$17)),"")</f>
        <v>5</v>
      </c>
      <c r="J18" s="50">
        <f>IF(I18="","",COUNTIF($I$30:$I$35,I18))</f>
        <v>3</v>
      </c>
      <c r="K18" s="50">
        <f>IF(I18="","",COUNTIF(I$18:I18,I18))</f>
        <v>1</v>
      </c>
      <c r="L18" s="50"/>
      <c r="M18" s="50" t="str">
        <f t="array" ref="M18">IFERROR(INDEX($H$30:$H$35,SMALL(IF(ISNUMBER(MATCH($I$30:$I$35,N18,0)),MATCH(ROW($I$30:$I$35),ROW($I$30:$I$35)),""),P18)),"")</f>
        <v>Professionalism and Ethics</v>
      </c>
      <c r="N18" s="216">
        <f>IF(AND(O17&lt;&gt;"",OR(ROW()-ROW(N$17)&lt;=3,COUNTIF(N$17:N17,N17)&lt;&gt;O17)),SMALL($I$30:$I$35,ROW()-ROW(N$17)),"")</f>
        <v>4</v>
      </c>
      <c r="O18" s="50">
        <f>IF(N18="","",COUNTIF($I$30:$I$35,N18))</f>
        <v>3</v>
      </c>
      <c r="P18" s="50">
        <f>IF(N18="","",COUNTIF(N$18:N18,N18))</f>
        <v>1</v>
      </c>
      <c r="R18" s="374" t="b">
        <f t="shared" si="0"/>
        <v>0</v>
      </c>
      <c r="S18" s="374" t="b">
        <f t="shared" si="1"/>
        <v>0</v>
      </c>
      <c r="T18" s="374" t="b">
        <f t="shared" si="2"/>
        <v>0</v>
      </c>
      <c r="U18" s="374" t="b">
        <f t="shared" si="3"/>
        <v>0</v>
      </c>
    </row>
    <row r="19" spans="1:21" ht="15.75" x14ac:dyDescent="0.25">
      <c r="A19" s="387" t="str">
        <f t="shared" si="5"/>
        <v/>
      </c>
      <c r="B19" s="433" t="str">
        <f t="shared" si="6"/>
        <v/>
      </c>
      <c r="C19" s="451"/>
      <c r="D19" s="456"/>
      <c r="E19" s="456"/>
      <c r="F19" s="456"/>
      <c r="G19" s="374"/>
      <c r="H19" s="50" t="str">
        <f t="array" ref="H19">IFERROR(INDEX($H$30:$H$35,SMALL(IF(ISNUMBER(MATCH($I$30:$I$35,I19,0)),MATCH(ROW($I$30:$I$35),ROW($I$30:$I$35)),""),K19)),"")</f>
        <v>Service Orientation</v>
      </c>
      <c r="I19" s="379">
        <f>IF(AND(J18&lt;&gt;"",OR(ROW()-ROW(I$17)&lt;=3,COUNTIF(I$17:I18,I18)&lt;&gt;J18)),LARGE($I$30:$I$35,ROW()-ROW(I$17)),"")</f>
        <v>5</v>
      </c>
      <c r="J19" s="50">
        <f t="shared" ref="J19:J23" si="7">IF(I19="","",COUNTIF($I$30:$I$35,I19))</f>
        <v>3</v>
      </c>
      <c r="K19" s="50">
        <f>IF(I19="","",COUNTIF(I$18:I19,I19))</f>
        <v>2</v>
      </c>
      <c r="L19" s="50"/>
      <c r="M19" s="50" t="str">
        <f t="array" ref="M19">IFERROR(INDEX($H$30:$H$35,SMALL(IF(ISNUMBER(MATCH($I$30:$I$35,N19,0)),MATCH(ROW($I$30:$I$35),ROW($I$30:$I$35)),""),P19)),"")</f>
        <v>Results Focus</v>
      </c>
      <c r="N19" s="216">
        <f>IF(AND(O18&lt;&gt;"",OR(ROW()-ROW(N$17)&lt;=3,COUNTIF(N$17:N18,N18)&lt;&gt;O18)),SMALL($I$30:$I$35,ROW()-ROW(N$17)),"")</f>
        <v>4</v>
      </c>
      <c r="O19" s="50">
        <f t="shared" ref="O19:O23" si="8">IF(N19="","",COUNTIF($I$30:$I$35,N19))</f>
        <v>3</v>
      </c>
      <c r="P19" s="50">
        <f>IF(N19="","",COUNTIF(N$18:N19,N19))</f>
        <v>2</v>
      </c>
      <c r="R19" s="374" t="b">
        <f t="shared" si="0"/>
        <v>0</v>
      </c>
      <c r="S19" s="374" t="b">
        <f t="shared" si="1"/>
        <v>0</v>
      </c>
      <c r="T19" s="374" t="b">
        <f t="shared" si="2"/>
        <v>0</v>
      </c>
      <c r="U19" s="374" t="b">
        <f t="shared" si="3"/>
        <v>0</v>
      </c>
    </row>
    <row r="20" spans="1:21" ht="15.75" x14ac:dyDescent="0.25">
      <c r="A20" s="387" t="str">
        <f t="shared" si="5"/>
        <v/>
      </c>
      <c r="B20" s="433" t="str">
        <f t="shared" si="6"/>
        <v/>
      </c>
      <c r="C20" s="451"/>
      <c r="D20" s="456"/>
      <c r="E20" s="456"/>
      <c r="F20" s="456"/>
      <c r="G20" s="374"/>
      <c r="H20" s="50" t="str">
        <f t="array" ref="H20">IFERROR(INDEX($H$30:$H$35,SMALL(IF(ISNUMBER(MATCH($I$30:$I$35,I20,0)),MATCH(ROW($I$30:$I$35),ROW($I$30:$I$35)),""),K20)),"")</f>
        <v>Innovation</v>
      </c>
      <c r="I20" s="379">
        <f>IF(AND(J19&lt;&gt;"",OR(ROW()-ROW(I$17)&lt;=3,COUNTIF(I$17:I19,I19)&lt;&gt;J19)),LARGE($I$30:$I$35,ROW()-ROW(I$17)),"")</f>
        <v>5</v>
      </c>
      <c r="J20" s="50">
        <f t="shared" si="7"/>
        <v>3</v>
      </c>
      <c r="K20" s="50">
        <f>IF(I20="","",COUNTIF(I$18:I20,I20))</f>
        <v>3</v>
      </c>
      <c r="L20" s="50"/>
      <c r="M20" s="50" t="str">
        <f t="array" ref="M20">IFERROR(INDEX($H$30:$H$35,SMALL(IF(ISNUMBER(MATCH($I$30:$I$35,N20,0)),MATCH(ROW($I$30:$I$35),ROW($I$30:$I$35)),""),P20)),"")</f>
        <v>Teamwork</v>
      </c>
      <c r="N20" s="216">
        <f>IF(AND(O19&lt;&gt;"",OR(ROW()-ROW(N$17)&lt;=3,COUNTIF(N$17:N19,N19)&lt;&gt;O19)),SMALL($I$30:$I$35,ROW()-ROW(N$17)),"")</f>
        <v>4</v>
      </c>
      <c r="O20" s="50">
        <f t="shared" si="8"/>
        <v>3</v>
      </c>
      <c r="P20" s="50">
        <f>IF(N20="","",COUNTIF(N$18:N20,N20))</f>
        <v>3</v>
      </c>
      <c r="R20" s="374" t="b">
        <f t="shared" si="0"/>
        <v>0</v>
      </c>
      <c r="S20" s="374" t="b">
        <f t="shared" si="1"/>
        <v>0</v>
      </c>
      <c r="T20" s="374" t="b">
        <f t="shared" si="2"/>
        <v>0</v>
      </c>
      <c r="U20" s="374" t="b">
        <f t="shared" si="3"/>
        <v>0</v>
      </c>
    </row>
    <row r="21" spans="1:21" ht="15.75" x14ac:dyDescent="0.25">
      <c r="A21" s="387" t="str">
        <f t="shared" si="5"/>
        <v/>
      </c>
      <c r="B21" s="433" t="str">
        <f t="shared" si="6"/>
        <v/>
      </c>
      <c r="C21" s="451"/>
      <c r="D21" s="456"/>
      <c r="E21" s="456"/>
      <c r="F21" s="456"/>
      <c r="G21" s="381" t="str">
        <f>IF(AND(PART2_locked,M21&lt;&gt;""),"optional","")</f>
        <v/>
      </c>
      <c r="H21" s="50" t="str">
        <f t="array" ref="H21">IFERROR(INDEX($H$30:$H$35,SMALL(IF(ISNUMBER(MATCH($I$30:$I$35,I21,0)),MATCH(ROW($I$30:$I$35),ROW($I$30:$I$35)),""),K21)),"")</f>
        <v/>
      </c>
      <c r="I21" s="379" t="str">
        <f>IF(AND(J20&lt;&gt;"",OR(ROW()-ROW(I$17)&lt;=3,COUNTIF(I$17:I20,I20)&lt;&gt;J20)),LARGE($I$30:$I$35,ROW()-ROW(I$17)),"")</f>
        <v/>
      </c>
      <c r="J21" s="50" t="str">
        <f t="shared" si="7"/>
        <v/>
      </c>
      <c r="K21" s="50" t="str">
        <f>IF(I21="","",COUNTIF(I$18:I21,I21))</f>
        <v/>
      </c>
      <c r="L21" s="50"/>
      <c r="M21" s="50" t="str">
        <f t="array" ref="M21">IFERROR(INDEX($H$30:$H$35,SMALL(IF(ISNUMBER(MATCH($I$30:$I$35,N21,0)),MATCH(ROW($I$30:$I$35),ROW($I$30:$I$35)),""),P21)),"")</f>
        <v/>
      </c>
      <c r="N21" s="216" t="str">
        <f>IF(AND(O20&lt;&gt;"",OR(ROW()-ROW(N$17)&lt;=3,COUNTIF(N$17:N20,N20)&lt;&gt;O20)),SMALL($I$30:$I$35,ROW()-ROW(N$17)),"")</f>
        <v/>
      </c>
      <c r="O21" s="50" t="str">
        <f t="shared" si="8"/>
        <v/>
      </c>
      <c r="P21" s="50" t="str">
        <f>IF(N21="","",COUNTIF(N$18:N21,N21))</f>
        <v/>
      </c>
      <c r="R21" s="374" t="b">
        <f t="shared" si="0"/>
        <v>1</v>
      </c>
      <c r="S21" s="374" t="b">
        <f t="shared" si="1"/>
        <v>1</v>
      </c>
      <c r="T21" s="374" t="b">
        <f t="shared" si="2"/>
        <v>1</v>
      </c>
      <c r="U21" s="374" t="b">
        <f t="shared" si="3"/>
        <v>1</v>
      </c>
    </row>
    <row r="22" spans="1:21" ht="15.75" x14ac:dyDescent="0.25">
      <c r="A22" s="387" t="str">
        <f t="shared" si="5"/>
        <v/>
      </c>
      <c r="B22" s="433" t="str">
        <f t="shared" si="6"/>
        <v/>
      </c>
      <c r="C22" s="451"/>
      <c r="D22" s="456"/>
      <c r="E22" s="456"/>
      <c r="F22" s="456"/>
      <c r="G22" s="381" t="str">
        <f>IF(AND(PART2_locked,M22&lt;&gt;""),"optional","")</f>
        <v/>
      </c>
      <c r="H22" s="50" t="str">
        <f t="array" ref="H22">IFERROR(INDEX($H$30:$H$35,SMALL(IF(ISNUMBER(MATCH($I$30:$I$35,I22,0)),MATCH(ROW($I$30:$I$35),ROW($I$30:$I$35)),""),K22)),"")</f>
        <v/>
      </c>
      <c r="I22" s="379" t="str">
        <f>IF(AND(J21&lt;&gt;"",OR(ROW()-ROW(I$17)&lt;=3,COUNTIF(I$17:I21,I21)&lt;&gt;J21)),LARGE($I$30:$I$35,ROW()-ROW(I$17)),"")</f>
        <v/>
      </c>
      <c r="J22" s="50" t="str">
        <f t="shared" si="7"/>
        <v/>
      </c>
      <c r="K22" s="50" t="str">
        <f>IF(I22="","",COUNTIF(I$18:I22,I22))</f>
        <v/>
      </c>
      <c r="L22" s="50"/>
      <c r="M22" s="50" t="str">
        <f t="array" ref="M22">IFERROR(INDEX($H$30:$H$35,SMALL(IF(ISNUMBER(MATCH($I$30:$I$35,N22,0)),MATCH(ROW($I$30:$I$35),ROW($I$30:$I$35)),""),P22)),"")</f>
        <v/>
      </c>
      <c r="N22" s="216" t="str">
        <f>IF(AND(O21&lt;&gt;"",OR(ROW()-ROW(N$17)&lt;=3,COUNTIF(N$17:N21,N21)&lt;&gt;O21)),SMALL($I$30:$I$35,ROW()-ROW(N$17)),"")</f>
        <v/>
      </c>
      <c r="O22" s="50" t="str">
        <f t="shared" si="8"/>
        <v/>
      </c>
      <c r="P22" s="50" t="str">
        <f>IF(N22="","",COUNTIF(N$18:N22,N22))</f>
        <v/>
      </c>
      <c r="R22" s="374" t="b">
        <f t="shared" si="0"/>
        <v>1</v>
      </c>
      <c r="S22" s="374" t="b">
        <f t="shared" si="1"/>
        <v>1</v>
      </c>
      <c r="T22" s="374" t="b">
        <f t="shared" si="2"/>
        <v>1</v>
      </c>
      <c r="U22" s="374" t="b">
        <f t="shared" si="3"/>
        <v>1</v>
      </c>
    </row>
    <row r="23" spans="1:21" ht="16.5" thickBot="1" x14ac:dyDescent="0.3">
      <c r="A23" s="388" t="str">
        <f t="shared" si="5"/>
        <v/>
      </c>
      <c r="B23" s="434" t="str">
        <f t="shared" si="6"/>
        <v/>
      </c>
      <c r="C23" s="454"/>
      <c r="D23" s="457"/>
      <c r="E23" s="457"/>
      <c r="F23" s="457"/>
      <c r="G23" s="381" t="str">
        <f>IF(AND(PART2_locked,M23&lt;&gt;""),"optional","")</f>
        <v/>
      </c>
      <c r="H23" s="50" t="str">
        <f t="array" ref="H23">IFERROR(INDEX($H$30:$H$35,SMALL(IF(ISNUMBER(MATCH($I$30:$I$35,I23,0)),MATCH(ROW($I$30:$I$35),ROW($I$30:$I$35)),""),K23)),"")</f>
        <v/>
      </c>
      <c r="I23" s="379" t="str">
        <f>IF(AND(J22&lt;&gt;"",OR(ROW()-ROW(I$17)&lt;=3,COUNTIF(I$17:I22,I22)&lt;&gt;J22)),LARGE($I$30:$I$35,ROW()-ROW(I$17)),"")</f>
        <v/>
      </c>
      <c r="J23" s="50" t="str">
        <f t="shared" si="7"/>
        <v/>
      </c>
      <c r="K23" s="50" t="str">
        <f>IF(I23="","",COUNTIF(I$18:I23,I23))</f>
        <v/>
      </c>
      <c r="L23" s="50"/>
      <c r="M23" s="50" t="str">
        <f t="array" ref="M23">IFERROR(INDEX($H$30:$H$35,SMALL(IF(ISNUMBER(MATCH($I$30:$I$35,N23,0)),MATCH(ROW($I$30:$I$35),ROW($I$30:$I$35)),""),P23)),"")</f>
        <v/>
      </c>
      <c r="N23" s="216" t="str">
        <f>IF(AND(O22&lt;&gt;"",OR(ROW()-ROW(N$17)&lt;=3,COUNTIF(N$17:N22,N22)&lt;&gt;O22)),SMALL($I$30:$I$35,ROW()-ROW(N$17)),"")</f>
        <v/>
      </c>
      <c r="O23" s="50" t="str">
        <f t="shared" si="8"/>
        <v/>
      </c>
      <c r="P23" s="50" t="str">
        <f>IF(N23="","",COUNTIF(N$18:N23,N23))</f>
        <v/>
      </c>
      <c r="R23" s="374" t="b">
        <f t="shared" si="0"/>
        <v>1</v>
      </c>
      <c r="S23" s="374" t="b">
        <f t="shared" si="1"/>
        <v>1</v>
      </c>
      <c r="T23" s="374" t="b">
        <f t="shared" si="2"/>
        <v>1</v>
      </c>
      <c r="U23" s="374" t="b">
        <f t="shared" si="3"/>
        <v>1</v>
      </c>
    </row>
    <row r="24" spans="1:21" ht="15" hidden="1" customHeight="1" thickBot="1" x14ac:dyDescent="0.3">
      <c r="A24" s="435" t="s">
        <v>1256</v>
      </c>
      <c r="B24" s="436"/>
      <c r="C24" s="436"/>
      <c r="D24" s="436"/>
      <c r="E24" s="436"/>
      <c r="F24" s="437"/>
    </row>
    <row r="25" spans="1:21" ht="15" hidden="1" customHeight="1" x14ac:dyDescent="0.25">
      <c r="A25" s="799"/>
      <c r="B25" s="800"/>
      <c r="C25" s="800"/>
      <c r="D25" s="800"/>
      <c r="E25" s="800"/>
      <c r="F25" s="801"/>
    </row>
    <row r="26" spans="1:21" ht="15" hidden="1" customHeight="1" thickBot="1" x14ac:dyDescent="0.3">
      <c r="A26" s="802"/>
      <c r="B26" s="803"/>
      <c r="C26" s="803"/>
      <c r="D26" s="803"/>
      <c r="E26" s="803"/>
      <c r="F26" s="804"/>
    </row>
    <row r="27" spans="1:21" ht="65.099999999999994" customHeight="1" x14ac:dyDescent="0.25">
      <c r="A27" s="805" t="str">
        <f>'PART 1'!Q144</f>
        <v>ROWENA S. GOLLA</v>
      </c>
      <c r="B27" s="805"/>
      <c r="C27" s="805" t="str">
        <f>'PART 1'!V144</f>
        <v>FRANCISCO P. MUYANA</v>
      </c>
      <c r="D27" s="805"/>
      <c r="E27" s="805" t="str">
        <f>'PART 1'!Z144</f>
        <v>ROWENA B. SISON</v>
      </c>
      <c r="F27" s="805"/>
    </row>
    <row r="28" spans="1:21" x14ac:dyDescent="0.25">
      <c r="A28" s="792" t="s">
        <v>1257</v>
      </c>
      <c r="B28" s="792"/>
      <c r="C28" s="792" t="s">
        <v>1258</v>
      </c>
      <c r="D28" s="792"/>
      <c r="E28" s="792" t="s">
        <v>1259</v>
      </c>
      <c r="F28" s="792"/>
    </row>
    <row r="30" spans="1:21" x14ac:dyDescent="0.25">
      <c r="H30" t="s">
        <v>1131</v>
      </c>
      <c r="I30" s="379" cm="1">
        <f t="array" ref="I30">demographics[self_mgt_rating]</f>
        <v>5</v>
      </c>
    </row>
    <row r="31" spans="1:21" x14ac:dyDescent="0.25">
      <c r="H31" t="s">
        <v>1212</v>
      </c>
      <c r="I31" s="379" cm="1">
        <f t="array" ref="I31">demographics[prof_and_ethics_rating]</f>
        <v>4</v>
      </c>
    </row>
    <row r="32" spans="1:21" x14ac:dyDescent="0.25">
      <c r="H32" t="s">
        <v>1143</v>
      </c>
      <c r="I32" s="379" cm="1">
        <f t="array" ref="I32">demographics[results_focus_rating]</f>
        <v>4</v>
      </c>
    </row>
    <row r="33" spans="8:9" x14ac:dyDescent="0.25">
      <c r="H33" t="s">
        <v>1149</v>
      </c>
      <c r="I33" s="379" cm="1">
        <f t="array" ref="I33">demographics[teamwork_rating]</f>
        <v>4</v>
      </c>
    </row>
    <row r="34" spans="8:9" x14ac:dyDescent="0.25">
      <c r="H34" t="s">
        <v>1155</v>
      </c>
      <c r="I34" s="379" cm="1">
        <f t="array" ref="I34">demographics[service_orientation_rating]</f>
        <v>5</v>
      </c>
    </row>
    <row r="35" spans="8:9" x14ac:dyDescent="0.25">
      <c r="H35" t="s">
        <v>1161</v>
      </c>
      <c r="I35" s="379" cm="1">
        <f t="array" ref="I35">demographics[innovation_rating]</f>
        <v>5</v>
      </c>
    </row>
    <row r="36" spans="8:9" ht="34.5" customHeight="1" x14ac:dyDescent="0.25"/>
  </sheetData>
  <sheetProtection algorithmName="SHA-512" hashValue="9qkYU6CQoGQV3jdwCXhF29lgrpVEsu1gmd5+cBmt1V3UlNcwG8fN64NE7m7KtRtbgk9jXljzNuMQJuo9YMePPA==" saltValue="pGGNThdI5/P3VxCy62Quaw==" spinCount="100000" sheet="1" objects="1" scenarios="1" formatRows="0" selectLockedCells="1"/>
  <mergeCells count="16">
    <mergeCell ref="A28:B28"/>
    <mergeCell ref="C28:D28"/>
    <mergeCell ref="E28:F28"/>
    <mergeCell ref="A6:F6"/>
    <mergeCell ref="A17:F17"/>
    <mergeCell ref="A25:F26"/>
    <mergeCell ref="A27:B27"/>
    <mergeCell ref="C27:D27"/>
    <mergeCell ref="E27:F27"/>
    <mergeCell ref="A1:F1"/>
    <mergeCell ref="A3:A5"/>
    <mergeCell ref="B3:B5"/>
    <mergeCell ref="C3:D3"/>
    <mergeCell ref="E3:E5"/>
    <mergeCell ref="F3:F5"/>
    <mergeCell ref="C4:D4"/>
  </mergeCells>
  <conditionalFormatting sqref="A3:F6 A17:F17 A24:F24">
    <cfRule type="expression" dxfId="146" priority="11" stopIfTrue="1">
      <formula>career_stage="P"</formula>
    </cfRule>
    <cfRule type="expression" dxfId="145" priority="13" stopIfTrue="1">
      <formula>career_stage="HP"</formula>
    </cfRule>
  </conditionalFormatting>
  <conditionalFormatting sqref="C7:F16">
    <cfRule type="expression" dxfId="144" priority="4">
      <formula>AND(part4_finalize_attempt, NOT(R7))</formula>
    </cfRule>
  </conditionalFormatting>
  <conditionalFormatting sqref="C18:F23">
    <cfRule type="expression" dxfId="143" priority="3">
      <formula>AND(part4_finalize_attempt,NOT(R18))</formula>
    </cfRule>
  </conditionalFormatting>
  <conditionalFormatting sqref="A29:XFD1048576">
    <cfRule type="expression" dxfId="142" priority="7">
      <formula>AND(career_stage="HP",NOT(PART4_locked))</formula>
    </cfRule>
    <cfRule type="expression" dxfId="141" priority="9">
      <formula>AND(career_stage="P",NOT(PART4_locked))</formula>
    </cfRule>
    <cfRule type="expression" dxfId="140" priority="15">
      <formula>PART4_locked</formula>
    </cfRule>
  </conditionalFormatting>
  <conditionalFormatting sqref="G1:BZ1048576">
    <cfRule type="expression" dxfId="139" priority="6">
      <formula>AND(career_stage="HP",NOT(PART4_locked))</formula>
    </cfRule>
    <cfRule type="expression" dxfId="138" priority="8">
      <formula>AND(career_stage="P",NOT(PART4_locked))</formula>
    </cfRule>
    <cfRule type="expression" dxfId="137" priority="14">
      <formula>PART4_locked</formula>
    </cfRule>
  </conditionalFormatting>
  <conditionalFormatting sqref="A8:F16">
    <cfRule type="expression" dxfId="136" priority="2">
      <formula>$H7&lt;&gt;""</formula>
    </cfRule>
  </conditionalFormatting>
  <conditionalFormatting sqref="A19:F23">
    <cfRule type="expression" dxfId="135" priority="1">
      <formula>$H18&lt;&gt;""</formula>
    </cfRule>
  </conditionalFormatting>
  <printOptions horizontalCentered="1"/>
  <pageMargins left="0.5" right="0.5" top="0.7" bottom="0.24" header="0" footer="0.3"/>
  <pageSetup paperSize="9" scale="90" fitToHeight="0" orientation="landscape" horizontalDpi="4294967293" r:id="rId1"/>
  <headerFooter>
    <oddHeader>&amp;C&amp;"Calibri,Regular"&amp;K000000&amp;G</oddHeader>
    <oddFooter>Page &amp;P of &amp;N</oddFooter>
  </headerFooter>
  <ignoredErrors>
    <ignoredError sqref="J7:J16 N7:N16" formula="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1921" r:id="rId5" name="finalizeP4">
              <controlPr defaultSize="0" print="0" autoFill="0" autoPict="0" macro="[0]!PART4.ToggleFinalize">
                <anchor moveWithCells="1" sizeWithCells="1">
                  <from>
                    <xdr:col>2</xdr:col>
                    <xdr:colOff>838200</xdr:colOff>
                    <xdr:row>37</xdr:row>
                    <xdr:rowOff>28575</xdr:rowOff>
                  </from>
                  <to>
                    <xdr:col>3</xdr:col>
                    <xdr:colOff>1000125</xdr:colOff>
                    <xdr:row>41</xdr:row>
                    <xdr:rowOff>85725</xdr:rowOff>
                  </to>
                </anchor>
              </controlPr>
            </control>
          </mc:Choice>
        </mc:AlternateContent>
        <mc:AlternateContent xmlns:mc="http://schemas.openxmlformats.org/markup-compatibility/2006">
          <mc:Choice Requires="x14">
            <control shapeId="81922" r:id="rId6" name="Button 2">
              <controlPr defaultSize="0" print="0" autoFill="0" autoPict="0" macro="[0]!PART4.InitializeSheet">
                <anchor moveWithCells="1" sizeWithCells="1">
                  <from>
                    <xdr:col>21</xdr:col>
                    <xdr:colOff>38100</xdr:colOff>
                    <xdr:row>0</xdr:row>
                    <xdr:rowOff>0</xdr:rowOff>
                  </from>
                  <to>
                    <xdr:col>22</xdr:col>
                    <xdr:colOff>504825</xdr:colOff>
                    <xdr:row>1</xdr:row>
                    <xdr:rowOff>142875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BEF62-327F-47FA-A6C0-306B1A3868AF}">
  <sheetPr codeName="domains"/>
  <dimension ref="A1:B8"/>
  <sheetViews>
    <sheetView zoomScale="150" zoomScaleNormal="140" workbookViewId="0">
      <pane ySplit="1" topLeftCell="A2" activePane="bottomLeft" state="frozen"/>
      <selection activeCell="B6" sqref="B6"/>
      <selection pane="bottomLeft" activeCell="B6" sqref="B6"/>
    </sheetView>
  </sheetViews>
  <sheetFormatPr defaultColWidth="8.85546875" defaultRowHeight="15" x14ac:dyDescent="0.25"/>
  <cols>
    <col min="1" max="1" width="15" style="11" customWidth="1"/>
    <col min="2" max="2" width="47.7109375" style="4" customWidth="1"/>
    <col min="3" max="16384" width="8.85546875" style="4"/>
  </cols>
  <sheetData>
    <row r="1" spans="1:2" s="1" customFormat="1" ht="15.75" thickBot="1" x14ac:dyDescent="0.3">
      <c r="A1" s="20" t="s">
        <v>1260</v>
      </c>
      <c r="B1" s="21" t="s">
        <v>1261</v>
      </c>
    </row>
    <row r="2" spans="1:2" s="8" customFormat="1" x14ac:dyDescent="0.25">
      <c r="A2" s="43">
        <v>1</v>
      </c>
      <c r="B2" s="44" t="s">
        <v>1262</v>
      </c>
    </row>
    <row r="3" spans="1:2" x14ac:dyDescent="0.25">
      <c r="A3" s="43">
        <v>2</v>
      </c>
      <c r="B3" s="44" t="s">
        <v>1263</v>
      </c>
    </row>
    <row r="4" spans="1:2" x14ac:dyDescent="0.25">
      <c r="A4" s="43">
        <v>3</v>
      </c>
      <c r="B4" s="44" t="s">
        <v>1264</v>
      </c>
    </row>
    <row r="5" spans="1:2" ht="45" x14ac:dyDescent="0.25">
      <c r="A5" s="43">
        <v>4</v>
      </c>
      <c r="B5" s="403" t="s">
        <v>1265</v>
      </c>
    </row>
    <row r="6" spans="1:2" x14ac:dyDescent="0.25">
      <c r="A6" s="43">
        <v>6</v>
      </c>
      <c r="B6" s="44" t="s">
        <v>1266</v>
      </c>
    </row>
    <row r="7" spans="1:2" x14ac:dyDescent="0.25">
      <c r="A7" s="43">
        <v>5</v>
      </c>
      <c r="B7" s="44" t="s">
        <v>1267</v>
      </c>
    </row>
    <row r="8" spans="1:2" x14ac:dyDescent="0.25">
      <c r="A8" s="43" t="s">
        <v>1268</v>
      </c>
      <c r="B8" s="44" t="s">
        <v>1268</v>
      </c>
    </row>
  </sheetData>
  <sheetProtection algorithmName="SHA-512" hashValue="Q21b9DO+n/KHqXh1w6xg5aI8B++yok3bMT3KIKj95Vm87vjRedcB+8mGkBP6SYVh6WEuVTQpafRbXm2q0VQX0Q==" saltValue="6PY5IhQafWIWB6Gdorb5xg==" spinCount="100000" sheet="1" objects="1" scenarios="1" selectLockedCells="1" selectUnlockedCells="1"/>
  <pageMargins left="0.7" right="0.7" top="0.75" bottom="0.75" header="0.3" footer="0.3"/>
  <pageSetup orientation="portrait"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A380C-6B78-4D17-83D2-02C8A8AAE689}">
  <sheetPr codeName="RPI_Sheet"/>
  <dimension ref="A1:M40"/>
  <sheetViews>
    <sheetView zoomScaleNormal="100" workbookViewId="0">
      <pane ySplit="1" topLeftCell="A32" activePane="bottomLeft" state="frozen"/>
      <selection activeCell="B6" sqref="B6"/>
      <selection pane="bottomLeft" activeCell="B6" sqref="B6"/>
    </sheetView>
  </sheetViews>
  <sheetFormatPr defaultColWidth="8.85546875" defaultRowHeight="15" x14ac:dyDescent="0.25"/>
  <cols>
    <col min="1" max="1" width="12.140625" style="6" customWidth="1"/>
    <col min="2" max="2" width="45.42578125" style="4" customWidth="1"/>
    <col min="3" max="3" width="9.85546875" style="11" customWidth="1"/>
    <col min="4" max="4" width="11.140625" style="6" customWidth="1"/>
    <col min="5" max="5" width="5.140625" style="6" customWidth="1"/>
    <col min="6" max="6" width="11.28515625" style="5" customWidth="1"/>
    <col min="7" max="7" width="11.28515625" style="6" customWidth="1"/>
    <col min="8" max="8" width="11.140625" style="85" customWidth="1"/>
    <col min="9" max="16384" width="8.85546875" style="4"/>
  </cols>
  <sheetData>
    <row r="1" spans="1:13" s="1" customFormat="1" ht="45" x14ac:dyDescent="0.25">
      <c r="A1" s="20" t="s">
        <v>882</v>
      </c>
      <c r="B1" s="23" t="s">
        <v>883</v>
      </c>
      <c r="C1" s="23" t="s">
        <v>1261</v>
      </c>
      <c r="D1" s="23" t="s">
        <v>884</v>
      </c>
      <c r="E1" s="23" t="s">
        <v>885</v>
      </c>
      <c r="F1" s="21" t="s">
        <v>1269</v>
      </c>
      <c r="G1" s="21" t="s">
        <v>1270</v>
      </c>
      <c r="H1" s="84" t="s">
        <v>887</v>
      </c>
      <c r="I1" s="23" t="s">
        <v>1271</v>
      </c>
      <c r="J1" s="12" t="s">
        <v>82</v>
      </c>
      <c r="K1" s="12" t="s">
        <v>83</v>
      </c>
      <c r="L1" s="12" t="s">
        <v>84</v>
      </c>
      <c r="M1" s="12" t="s">
        <v>85</v>
      </c>
    </row>
    <row r="2" spans="1:13" ht="30" x14ac:dyDescent="0.25">
      <c r="A2" s="22" t="s">
        <v>1272</v>
      </c>
      <c r="B2" s="18" t="s">
        <v>1273</v>
      </c>
      <c r="C2" s="13">
        <v>1</v>
      </c>
      <c r="D2" s="320" t="str">
        <f>IFERROR(IF(AND(COUNTIF(RPS[helper],RPI[[#This Row],[Strand]]&amp;"-Q-COI")&gt;0,COUNTIF(RPS[helper],RPI[[#This Row],[Strand]]&amp;"-Q-NCOI")&gt;0),"COI/NCOI",IF(COUNTIF(RPS[helper],RPI[[#This Row],[Strand]]&amp;"-Q-COI")&gt;0,"COI",IF(COUNTIF(RPS[helper],RPI[[#This Row],[Strand]]&amp;"-Q-NCOI")&gt;0,"NCOI",""))),"")</f>
        <v>COI</v>
      </c>
      <c r="E2" s="14">
        <v>3</v>
      </c>
      <c r="F2" s="317" t="b">
        <f>VLOOKUP(RPI[[#This Row],[Strand]],indSelect_RP,7,FALSE)</f>
        <v>1</v>
      </c>
      <c r="G2" s="318" t="str">
        <f>IF(AND(career_stage="P",teacher_type="R",RPI[[#This Row],[CO]]="COI/NCOI",RPI[[#This Row],[Selected]]),VLOOKUP(RPI[[#This Row],[Strand]],coi_ncoi_select,COLUMNS(coi_ncoi_select),FALSE),RPI[[#This Row],[CO]])</f>
        <v>COI</v>
      </c>
      <c r="H2" s="319">
        <f>VLOOKUP(RPI[[#This Row],[Strand]],indSelect_RP,6,FALSE)</f>
        <v>7.0000000000000007E-2</v>
      </c>
      <c r="I2" s="320" t="str">
        <f>IFERROR(IF(AND(RPI[[#This Row],[Selected]],RPI[[#This Row],[CO]]="COI/NCOI"),VLOOKUP(RPI[[#This Row],[Strand]],indSelect_RP,9,FALSE),RPI[[#This Row],[CO]]),RPI[[#This Row],[CO]])</f>
        <v>COI</v>
      </c>
      <c r="J2" s="320" t="b">
        <f>IF(AND(required_cot&gt;=1,RPI[[#This Row],[Selected]]),VLOOKUP(RPI[[#This Row],[Strand]],indSelect_RP,10,FALSE)=1,FALSE)</f>
        <v>1</v>
      </c>
      <c r="K2" s="320" t="b">
        <f>IF(AND(required_cot&gt;=2,RPI[[#This Row],[Selected]]),VLOOKUP(RPI[[#This Row],[Strand]],indSelect_RP,11,FALSE)=1,FALSE)</f>
        <v>1</v>
      </c>
      <c r="L2" s="320" t="b">
        <f>IF(AND(required_cot&gt;=3,RPI[[#This Row],[Selected]]),VLOOKUP(RPI[[#This Row],[Strand]],indSelect_RP,12,FALSE)=1,FALSE)</f>
        <v>1</v>
      </c>
      <c r="M2" s="320" t="b">
        <f>IF(AND(required_cot&gt;=4,RPI[[#This Row],[Selected]]),VLOOKUP(RPI[[#This Row],[Strand]],indSelect_RP,13,FALSE)=1,FALSE)</f>
        <v>1</v>
      </c>
    </row>
    <row r="3" spans="1:13" ht="45" x14ac:dyDescent="0.25">
      <c r="A3" s="22" t="s">
        <v>1274</v>
      </c>
      <c r="B3" s="18" t="s">
        <v>1275</v>
      </c>
      <c r="C3" s="13">
        <v>1</v>
      </c>
      <c r="D3" s="320" t="str">
        <f>IFERROR(IF(AND(COUNTIF(RPS[helper],RPI[[#This Row],[Strand]]&amp;"-Q-COI")&gt;0,COUNTIF(RPS[helper],RPI[[#This Row],[Strand]]&amp;"-Q-NCOI")&gt;0),"COI/NCOI",IF(COUNTIF(RPS[helper],RPI[[#This Row],[Strand]]&amp;"-Q-COI")&gt;0,"COI",IF(COUNTIF(RPS[helper],RPI[[#This Row],[Strand]]&amp;"-Q-NCOI")&gt;0,"NCOI",""))),"")</f>
        <v>NCOI</v>
      </c>
      <c r="E3" s="13">
        <v>3</v>
      </c>
      <c r="F3" s="317" t="b">
        <f>VLOOKUP(RPI[[#This Row],[Strand]],indSelect_RP,7,FALSE)</f>
        <v>0</v>
      </c>
      <c r="G3" s="322" t="str">
        <f>IF(AND(career_stage="P",teacher_type="R",RPI[[#This Row],[CO]]="COI/NCOI",RPI[[#This Row],[Selected]]),VLOOKUP(RPI[[#This Row],[Strand]],coi_ncoi_select,COLUMNS(coi_ncoi_select),FALSE),RPI[[#This Row],[CO]])</f>
        <v>NCOI</v>
      </c>
      <c r="H3" s="323">
        <f>VLOOKUP(RPI[[#This Row],[Strand]],indSelect_RP,6,FALSE)</f>
        <v>0</v>
      </c>
      <c r="I3" s="320" t="str">
        <f>IFERROR(IF(AND(RPI[[#This Row],[Selected]],RPI[[#This Row],[CO]]="COI/NCOI"),VLOOKUP(RPI[[#This Row],[Strand]],indSelect_RP,9,FALSE),RPI[[#This Row],[CO]]),RPI[[#This Row],[CO]])</f>
        <v>NCOI</v>
      </c>
      <c r="J3" s="320" t="b">
        <f>IF(AND(required_cot&gt;=1,RPI[[#This Row],[Selected]]),VLOOKUP(RPI[[#This Row],[Strand]],indSelect_RP,10,FALSE)=1,FALSE)</f>
        <v>0</v>
      </c>
      <c r="K3" s="320" t="b">
        <f>IF(AND(required_cot&gt;=2,RPI[[#This Row],[Selected]]),VLOOKUP(RPI[[#This Row],[Strand]],indSelect_RP,11,FALSE)=1,FALSE)</f>
        <v>0</v>
      </c>
      <c r="L3" s="320" t="b">
        <f>IF(AND(required_cot&gt;=3,RPI[[#This Row],[Selected]]),VLOOKUP(RPI[[#This Row],[Strand]],indSelect_RP,12,FALSE)=1,FALSE)</f>
        <v>0</v>
      </c>
      <c r="M3" s="320" t="b">
        <f>IF(AND(required_cot&gt;=4,RPI[[#This Row],[Selected]]),VLOOKUP(RPI[[#This Row],[Strand]],indSelect_RP,13,FALSE)=1,FALSE)</f>
        <v>0</v>
      </c>
    </row>
    <row r="4" spans="1:13" ht="30" x14ac:dyDescent="0.25">
      <c r="A4" s="22" t="s">
        <v>1276</v>
      </c>
      <c r="B4" s="18" t="s">
        <v>1277</v>
      </c>
      <c r="C4" s="13">
        <v>1</v>
      </c>
      <c r="D4" s="320" t="str">
        <f>IFERROR(IF(AND(COUNTIF(RPS[helper],RPI[[#This Row],[Strand]]&amp;"-Q-COI")&gt;0,COUNTIF(RPS[helper],RPI[[#This Row],[Strand]]&amp;"-Q-NCOI")&gt;0),"COI/NCOI",IF(COUNTIF(RPS[helper],RPI[[#This Row],[Strand]]&amp;"-Q-COI")&gt;0,"COI",IF(COUNTIF(RPS[helper],RPI[[#This Row],[Strand]]&amp;"-Q-NCOI")&gt;0,"NCOI",""))),"")</f>
        <v>NCOI</v>
      </c>
      <c r="E4" s="13">
        <v>2</v>
      </c>
      <c r="F4" s="317" t="b">
        <f>VLOOKUP(RPI[[#This Row],[Strand]],indSelect_RP,7,FALSE)</f>
        <v>0</v>
      </c>
      <c r="G4" s="322" t="str">
        <f>IF(AND(career_stage="P",teacher_type="R",RPI[[#This Row],[CO]]="COI/NCOI",RPI[[#This Row],[Selected]]),VLOOKUP(RPI[[#This Row],[Strand]],coi_ncoi_select,COLUMNS(coi_ncoi_select),FALSE),RPI[[#This Row],[CO]])</f>
        <v>NCOI</v>
      </c>
      <c r="H4" s="323">
        <f>VLOOKUP(RPI[[#This Row],[Strand]],indSelect_RP,6,FALSE)</f>
        <v>0</v>
      </c>
      <c r="I4" s="320" t="str">
        <f>IFERROR(IF(AND(RPI[[#This Row],[Selected]],RPI[[#This Row],[CO]]="COI/NCOI"),VLOOKUP(RPI[[#This Row],[Strand]],indSelect_RP,9,FALSE),RPI[[#This Row],[CO]]),RPI[[#This Row],[CO]])</f>
        <v>NCOI</v>
      </c>
      <c r="J4" s="320" t="b">
        <f>IF(AND(required_cot&gt;=1,RPI[[#This Row],[Selected]]),VLOOKUP(RPI[[#This Row],[Strand]],indSelect_RP,10,FALSE)=1,FALSE)</f>
        <v>0</v>
      </c>
      <c r="K4" s="320" t="b">
        <f>IF(AND(required_cot&gt;=2,RPI[[#This Row],[Selected]]),VLOOKUP(RPI[[#This Row],[Strand]],indSelect_RP,11,FALSE)=1,FALSE)</f>
        <v>0</v>
      </c>
      <c r="L4" s="320" t="b">
        <f>IF(AND(required_cot&gt;=3,RPI[[#This Row],[Selected]]),VLOOKUP(RPI[[#This Row],[Strand]],indSelect_RP,12,FALSE)=1,FALSE)</f>
        <v>0</v>
      </c>
      <c r="M4" s="320" t="b">
        <f>IF(AND(required_cot&gt;=4,RPI[[#This Row],[Selected]]),VLOOKUP(RPI[[#This Row],[Strand]],indSelect_RP,13,FALSE)=1,FALSE)</f>
        <v>0</v>
      </c>
    </row>
    <row r="5" spans="1:13" ht="45" x14ac:dyDescent="0.25">
      <c r="A5" s="22" t="s">
        <v>1278</v>
      </c>
      <c r="B5" s="18" t="s">
        <v>1279</v>
      </c>
      <c r="C5" s="13">
        <v>1</v>
      </c>
      <c r="D5" s="320" t="str">
        <f>IFERROR(IF(AND(COUNTIF(RPS[helper],RPI[[#This Row],[Strand]]&amp;"-Q-COI")&gt;0,COUNTIF(RPS[helper],RPI[[#This Row],[Strand]]&amp;"-Q-NCOI")&gt;0),"COI/NCOI",IF(COUNTIF(RPS[helper],RPI[[#This Row],[Strand]]&amp;"-Q-COI")&gt;0,"COI",IF(COUNTIF(RPS[helper],RPI[[#This Row],[Strand]]&amp;"-Q-NCOI")&gt;0,"NCOI",""))),"")</f>
        <v>COI</v>
      </c>
      <c r="E5" s="13">
        <v>3</v>
      </c>
      <c r="F5" s="317" t="b">
        <f>VLOOKUP(RPI[[#This Row],[Strand]],indSelect_RP,7,FALSE)</f>
        <v>1</v>
      </c>
      <c r="G5" s="322" t="str">
        <f>IF(AND(career_stage="P",teacher_type="R",RPI[[#This Row],[CO]]="COI/NCOI",RPI[[#This Row],[Selected]]),VLOOKUP(RPI[[#This Row],[Strand]],coi_ncoi_select,COLUMNS(coi_ncoi_select),FALSE),RPI[[#This Row],[CO]])</f>
        <v>COI</v>
      </c>
      <c r="H5" s="323">
        <f>VLOOKUP(RPI[[#This Row],[Strand]],indSelect_RP,6,FALSE)</f>
        <v>7.0000000000000007E-2</v>
      </c>
      <c r="I5" s="320" t="str">
        <f>IFERROR(IF(AND(RPI[[#This Row],[Selected]],RPI[[#This Row],[CO]]="COI/NCOI"),VLOOKUP(RPI[[#This Row],[Strand]],indSelect_RP,9,FALSE),RPI[[#This Row],[CO]]),RPI[[#This Row],[CO]])</f>
        <v>COI</v>
      </c>
      <c r="J5" s="320" t="b">
        <f>IF(AND(required_cot&gt;=1,RPI[[#This Row],[Selected]]),VLOOKUP(RPI[[#This Row],[Strand]],indSelect_RP,10,FALSE)=1,FALSE)</f>
        <v>1</v>
      </c>
      <c r="K5" s="320" t="b">
        <f>IF(AND(required_cot&gt;=2,RPI[[#This Row],[Selected]]),VLOOKUP(RPI[[#This Row],[Strand]],indSelect_RP,11,FALSE)=1,FALSE)</f>
        <v>1</v>
      </c>
      <c r="L5" s="320" t="b">
        <f>IF(AND(required_cot&gt;=3,RPI[[#This Row],[Selected]]),VLOOKUP(RPI[[#This Row],[Strand]],indSelect_RP,12,FALSE)=1,FALSE)</f>
        <v>1</v>
      </c>
      <c r="M5" s="320" t="b">
        <f>IF(AND(required_cot&gt;=4,RPI[[#This Row],[Selected]]),VLOOKUP(RPI[[#This Row],[Strand]],indSelect_RP,13,FALSE)=1,FALSE)</f>
        <v>1</v>
      </c>
    </row>
    <row r="6" spans="1:13" ht="45" x14ac:dyDescent="0.25">
      <c r="A6" s="22" t="s">
        <v>1280</v>
      </c>
      <c r="B6" s="18" t="s">
        <v>1281</v>
      </c>
      <c r="C6" s="13">
        <v>1</v>
      </c>
      <c r="D6" s="320" t="str">
        <f>IFERROR(IF(AND(COUNTIF(RPS[helper],RPI[[#This Row],[Strand]]&amp;"-Q-COI")&gt;0,COUNTIF(RPS[helper],RPI[[#This Row],[Strand]]&amp;"-Q-NCOI")&gt;0),"COI/NCOI",IF(COUNTIF(RPS[helper],RPI[[#This Row],[Strand]]&amp;"-Q-COI")&gt;0,"COI",IF(COUNTIF(RPS[helper],RPI[[#This Row],[Strand]]&amp;"-Q-NCOI")&gt;0,"NCOI",""))),"")</f>
        <v>COI</v>
      </c>
      <c r="E6" s="13">
        <v>1</v>
      </c>
      <c r="F6" s="317" t="b">
        <f>VLOOKUP(RPI[[#This Row],[Strand]],indSelect_RP,7,FALSE)</f>
        <v>1</v>
      </c>
      <c r="G6" s="322" t="str">
        <f>IF(AND(career_stage="P",teacher_type="R",RPI[[#This Row],[CO]]="COI/NCOI",RPI[[#This Row],[Selected]]),VLOOKUP(RPI[[#This Row],[Strand]],coi_ncoi_select,COLUMNS(coi_ncoi_select),FALSE),RPI[[#This Row],[CO]])</f>
        <v>COI</v>
      </c>
      <c r="H6" s="323">
        <f>VLOOKUP(RPI[[#This Row],[Strand]],indSelect_RP,6,FALSE)</f>
        <v>7.0000000000000007E-2</v>
      </c>
      <c r="I6" s="320" t="str">
        <f>IFERROR(IF(AND(RPI[[#This Row],[Selected]],RPI[[#This Row],[CO]]="COI/NCOI"),VLOOKUP(RPI[[#This Row],[Strand]],indSelect_RP,9,FALSE),RPI[[#This Row],[CO]]),RPI[[#This Row],[CO]])</f>
        <v>COI</v>
      </c>
      <c r="J6" s="320" t="b">
        <f>IF(AND(required_cot&gt;=1,RPI[[#This Row],[Selected]]),VLOOKUP(RPI[[#This Row],[Strand]],indSelect_RP,10,FALSE)=1,FALSE)</f>
        <v>1</v>
      </c>
      <c r="K6" s="320" t="b">
        <f>IF(AND(required_cot&gt;=2,RPI[[#This Row],[Selected]]),VLOOKUP(RPI[[#This Row],[Strand]],indSelect_RP,11,FALSE)=1,FALSE)</f>
        <v>1</v>
      </c>
      <c r="L6" s="320" t="b">
        <f>IF(AND(required_cot&gt;=3,RPI[[#This Row],[Selected]]),VLOOKUP(RPI[[#This Row],[Strand]],indSelect_RP,12,FALSE)=1,FALSE)</f>
        <v>1</v>
      </c>
      <c r="M6" s="320" t="b">
        <f>IF(AND(required_cot&gt;=4,RPI[[#This Row],[Selected]]),VLOOKUP(RPI[[#This Row],[Strand]],indSelect_RP,13,FALSE)=1,FALSE)</f>
        <v>1</v>
      </c>
    </row>
    <row r="7" spans="1:13" ht="45" x14ac:dyDescent="0.25">
      <c r="A7" s="22" t="s">
        <v>1282</v>
      </c>
      <c r="B7" s="18" t="s">
        <v>1283</v>
      </c>
      <c r="C7" s="13">
        <v>1</v>
      </c>
      <c r="D7" s="320" t="str">
        <f>IFERROR(IF(AND(COUNTIF(RPS[helper],RPI[[#This Row],[Strand]]&amp;"-Q-COI")&gt;0,COUNTIF(RPS[helper],RPI[[#This Row],[Strand]]&amp;"-Q-NCOI")&gt;0),"COI/NCOI",IF(COUNTIF(RPS[helper],RPI[[#This Row],[Strand]]&amp;"-Q-COI")&gt;0,"COI",IF(COUNTIF(RPS[helper],RPI[[#This Row],[Strand]]&amp;"-Q-NCOI")&gt;0,"NCOI",""))),"")</f>
        <v>COI</v>
      </c>
      <c r="E7" s="13">
        <v>3</v>
      </c>
      <c r="F7" s="317" t="b">
        <f>VLOOKUP(RPI[[#This Row],[Strand]],indSelect_RP,7,FALSE)</f>
        <v>1</v>
      </c>
      <c r="G7" s="322" t="str">
        <f>IF(AND(career_stage="P",teacher_type="R",RPI[[#This Row],[CO]]="COI/NCOI",RPI[[#This Row],[Selected]]),VLOOKUP(RPI[[#This Row],[Strand]],coi_ncoi_select,COLUMNS(coi_ncoi_select),FALSE),RPI[[#This Row],[CO]])</f>
        <v>COI</v>
      </c>
      <c r="H7" s="323">
        <f>VLOOKUP(RPI[[#This Row],[Strand]],indSelect_RP,6,FALSE)</f>
        <v>7.0000000000000007E-2</v>
      </c>
      <c r="I7" s="320" t="str">
        <f>IFERROR(IF(AND(RPI[[#This Row],[Selected]],RPI[[#This Row],[CO]]="COI/NCOI"),VLOOKUP(RPI[[#This Row],[Strand]],indSelect_RP,9,FALSE),RPI[[#This Row],[CO]]),RPI[[#This Row],[CO]])</f>
        <v>COI</v>
      </c>
      <c r="J7" s="320" t="b">
        <f>IF(AND(required_cot&gt;=1,RPI[[#This Row],[Selected]]),VLOOKUP(RPI[[#This Row],[Strand]],indSelect_RP,10,FALSE)=1,FALSE)</f>
        <v>1</v>
      </c>
      <c r="K7" s="320" t="b">
        <f>IF(AND(required_cot&gt;=2,RPI[[#This Row],[Selected]]),VLOOKUP(RPI[[#This Row],[Strand]],indSelect_RP,11,FALSE)=1,FALSE)</f>
        <v>0</v>
      </c>
      <c r="L7" s="320" t="b">
        <f>IF(AND(required_cot&gt;=3,RPI[[#This Row],[Selected]]),VLOOKUP(RPI[[#This Row],[Strand]],indSelect_RP,12,FALSE)=1,FALSE)</f>
        <v>1</v>
      </c>
      <c r="M7" s="320" t="b">
        <f>IF(AND(required_cot&gt;=4,RPI[[#This Row],[Selected]]),VLOOKUP(RPI[[#This Row],[Strand]],indSelect_RP,13,FALSE)=1,FALSE)</f>
        <v>0</v>
      </c>
    </row>
    <row r="8" spans="1:13" ht="60" x14ac:dyDescent="0.25">
      <c r="A8" s="22" t="s">
        <v>1284</v>
      </c>
      <c r="B8" s="18" t="s">
        <v>1285</v>
      </c>
      <c r="C8" s="13">
        <v>1</v>
      </c>
      <c r="D8" s="320" t="str">
        <f>IFERROR(IF(AND(COUNTIF(RPS[helper],RPI[[#This Row],[Strand]]&amp;"-Q-COI")&gt;0,COUNTIF(RPS[helper],RPI[[#This Row],[Strand]]&amp;"-Q-NCOI")&gt;0),"COI/NCOI",IF(COUNTIF(RPS[helper],RPI[[#This Row],[Strand]]&amp;"-Q-COI")&gt;0,"COI",IF(COUNTIF(RPS[helper],RPI[[#This Row],[Strand]]&amp;"-Q-NCOI")&gt;0,"NCOI",""))),"")</f>
        <v>COI</v>
      </c>
      <c r="E8" s="13">
        <v>3</v>
      </c>
      <c r="F8" s="317" t="b">
        <f>VLOOKUP(RPI[[#This Row],[Strand]],indSelect_RP,7,FALSE)</f>
        <v>0</v>
      </c>
      <c r="G8" s="322" t="str">
        <f>IF(AND(career_stage="P",teacher_type="R",RPI[[#This Row],[CO]]="COI/NCOI",RPI[[#This Row],[Selected]]),VLOOKUP(RPI[[#This Row],[Strand]],coi_ncoi_select,COLUMNS(coi_ncoi_select),FALSE),RPI[[#This Row],[CO]])</f>
        <v>COI</v>
      </c>
      <c r="H8" s="323">
        <f>VLOOKUP(RPI[[#This Row],[Strand]],indSelect_RP,6,FALSE)</f>
        <v>0</v>
      </c>
      <c r="I8" s="320" t="str">
        <f>IFERROR(IF(AND(RPI[[#This Row],[Selected]],RPI[[#This Row],[CO]]="COI/NCOI"),VLOOKUP(RPI[[#This Row],[Strand]],indSelect_RP,9,FALSE),RPI[[#This Row],[CO]]),RPI[[#This Row],[CO]])</f>
        <v>COI</v>
      </c>
      <c r="J8" s="320" t="b">
        <f>IF(AND(required_cot&gt;=1,RPI[[#This Row],[Selected]]),VLOOKUP(RPI[[#This Row],[Strand]],indSelect_RP,10,FALSE)=1,FALSE)</f>
        <v>0</v>
      </c>
      <c r="K8" s="320" t="b">
        <f>IF(AND(required_cot&gt;=2,RPI[[#This Row],[Selected]]),VLOOKUP(RPI[[#This Row],[Strand]],indSelect_RP,11,FALSE)=1,FALSE)</f>
        <v>0</v>
      </c>
      <c r="L8" s="320" t="b">
        <f>IF(AND(required_cot&gt;=3,RPI[[#This Row],[Selected]]),VLOOKUP(RPI[[#This Row],[Strand]],indSelect_RP,12,FALSE)=1,FALSE)</f>
        <v>0</v>
      </c>
      <c r="M8" s="320" t="b">
        <f>IF(AND(required_cot&gt;=4,RPI[[#This Row],[Selected]]),VLOOKUP(RPI[[#This Row],[Strand]],indSelect_RP,13,FALSE)=1,FALSE)</f>
        <v>0</v>
      </c>
    </row>
    <row r="9" spans="1:13" ht="63" customHeight="1" x14ac:dyDescent="0.25">
      <c r="A9" s="22" t="s">
        <v>1286</v>
      </c>
      <c r="B9" s="18" t="s">
        <v>1287</v>
      </c>
      <c r="C9" s="13">
        <v>2</v>
      </c>
      <c r="D9" s="320" t="str">
        <f>IFERROR(IF(AND(COUNTIF(RPS[helper],RPI[[#This Row],[Strand]]&amp;"-Q-COI")&gt;0,COUNTIF(RPS[helper],RPI[[#This Row],[Strand]]&amp;"-Q-NCOI")&gt;0),"COI/NCOI",IF(COUNTIF(RPS[helper],RPI[[#This Row],[Strand]]&amp;"-Q-COI")&gt;0,"COI",IF(COUNTIF(RPS[helper],RPI[[#This Row],[Strand]]&amp;"-Q-NCOI")&gt;0,"NCOI",""))),"")</f>
        <v>COI</v>
      </c>
      <c r="E9" s="13">
        <v>3</v>
      </c>
      <c r="F9" s="317" t="b">
        <f>VLOOKUP(RPI[[#This Row],[Strand]],indSelect_RP,7,FALSE)</f>
        <v>1</v>
      </c>
      <c r="G9" s="322" t="str">
        <f>IF(AND(career_stage="P",teacher_type="R",RPI[[#This Row],[CO]]="COI/NCOI",RPI[[#This Row],[Selected]]),VLOOKUP(RPI[[#This Row],[Strand]],coi_ncoi_select,COLUMNS(coi_ncoi_select),FALSE),RPI[[#This Row],[CO]])</f>
        <v>COI</v>
      </c>
      <c r="H9" s="323">
        <f>VLOOKUP(RPI[[#This Row],[Strand]],indSelect_RP,6,FALSE)</f>
        <v>7.0000000000000007E-2</v>
      </c>
      <c r="I9" s="320" t="str">
        <f>IFERROR(IF(AND(RPI[[#This Row],[Selected]],RPI[[#This Row],[CO]]="COI/NCOI"),VLOOKUP(RPI[[#This Row],[Strand]],indSelect_RP,9,FALSE),RPI[[#This Row],[CO]]),RPI[[#This Row],[CO]])</f>
        <v>COI</v>
      </c>
      <c r="J9" s="320" t="b">
        <f>IF(AND(required_cot&gt;=1,RPI[[#This Row],[Selected]]),VLOOKUP(RPI[[#This Row],[Strand]],indSelect_RP,10,FALSE)=1,FALSE)</f>
        <v>1</v>
      </c>
      <c r="K9" s="320" t="b">
        <f>IF(AND(required_cot&gt;=2,RPI[[#This Row],[Selected]]),VLOOKUP(RPI[[#This Row],[Strand]],indSelect_RP,11,FALSE)=1,FALSE)</f>
        <v>0</v>
      </c>
      <c r="L9" s="320" t="b">
        <f>IF(AND(required_cot&gt;=3,RPI[[#This Row],[Selected]]),VLOOKUP(RPI[[#This Row],[Strand]],indSelect_RP,12,FALSE)=1,FALSE)</f>
        <v>1</v>
      </c>
      <c r="M9" s="320" t="b">
        <f>IF(AND(required_cot&gt;=4,RPI[[#This Row],[Selected]]),VLOOKUP(RPI[[#This Row],[Strand]],indSelect_RP,13,FALSE)=1,FALSE)</f>
        <v>0</v>
      </c>
    </row>
    <row r="10" spans="1:13" ht="30" x14ac:dyDescent="0.25">
      <c r="A10" s="22" t="s">
        <v>1288</v>
      </c>
      <c r="B10" s="18" t="s">
        <v>1289</v>
      </c>
      <c r="C10" s="13">
        <v>2</v>
      </c>
      <c r="D10" s="320" t="str">
        <f>IFERROR(IF(AND(COUNTIF(RPS[helper],RPI[[#This Row],[Strand]]&amp;"-Q-COI")&gt;0,COUNTIF(RPS[helper],RPI[[#This Row],[Strand]]&amp;"-Q-NCOI")&gt;0),"COI/NCOI",IF(COUNTIF(RPS[helper],RPI[[#This Row],[Strand]]&amp;"-Q-COI")&gt;0,"COI",IF(COUNTIF(RPS[helper],RPI[[#This Row],[Strand]]&amp;"-Q-NCOI")&gt;0,"NCOI",""))),"")</f>
        <v>COI</v>
      </c>
      <c r="E10" s="13">
        <v>3</v>
      </c>
      <c r="F10" s="317" t="b">
        <f>VLOOKUP(RPI[[#This Row],[Strand]],indSelect_RP,7,FALSE)</f>
        <v>1</v>
      </c>
      <c r="G10" s="322" t="str">
        <f>IF(AND(career_stage="P",teacher_type="R",RPI[[#This Row],[CO]]="COI/NCOI",RPI[[#This Row],[Selected]]),VLOOKUP(RPI[[#This Row],[Strand]],coi_ncoi_select,COLUMNS(coi_ncoi_select),FALSE),RPI[[#This Row],[CO]])</f>
        <v>COI</v>
      </c>
      <c r="H10" s="323">
        <f>VLOOKUP(RPI[[#This Row],[Strand]],indSelect_RP,6,FALSE)</f>
        <v>7.0000000000000007E-2</v>
      </c>
      <c r="I10" s="320" t="str">
        <f>IFERROR(IF(AND(RPI[[#This Row],[Selected]],RPI[[#This Row],[CO]]="COI/NCOI"),VLOOKUP(RPI[[#This Row],[Strand]],indSelect_RP,9,FALSE),RPI[[#This Row],[CO]]),RPI[[#This Row],[CO]])</f>
        <v>COI</v>
      </c>
      <c r="J10" s="320" t="b">
        <f>IF(AND(required_cot&gt;=1,RPI[[#This Row],[Selected]]),VLOOKUP(RPI[[#This Row],[Strand]],indSelect_RP,10,FALSE)=1,FALSE)</f>
        <v>1</v>
      </c>
      <c r="K10" s="320" t="b">
        <f>IF(AND(required_cot&gt;=2,RPI[[#This Row],[Selected]]),VLOOKUP(RPI[[#This Row],[Strand]],indSelect_RP,11,FALSE)=1,FALSE)</f>
        <v>0</v>
      </c>
      <c r="L10" s="320" t="b">
        <f>IF(AND(required_cot&gt;=3,RPI[[#This Row],[Selected]]),VLOOKUP(RPI[[#This Row],[Strand]],indSelect_RP,12,FALSE)=1,FALSE)</f>
        <v>1</v>
      </c>
      <c r="M10" s="320" t="b">
        <f>IF(AND(required_cot&gt;=4,RPI[[#This Row],[Selected]]),VLOOKUP(RPI[[#This Row],[Strand]],indSelect_RP,13,FALSE)=1,FALSE)</f>
        <v>0</v>
      </c>
    </row>
    <row r="11" spans="1:13" ht="60" x14ac:dyDescent="0.25">
      <c r="A11" s="22" t="s">
        <v>1290</v>
      </c>
      <c r="B11" s="18" t="s">
        <v>1291</v>
      </c>
      <c r="C11" s="13">
        <v>2</v>
      </c>
      <c r="D11" s="320" t="str">
        <f>IFERROR(IF(AND(COUNTIF(RPS[helper],RPI[[#This Row],[Strand]]&amp;"-Q-COI")&gt;0,COUNTIF(RPS[helper],RPI[[#This Row],[Strand]]&amp;"-Q-NCOI")&gt;0),"COI/NCOI",IF(COUNTIF(RPS[helper],RPI[[#This Row],[Strand]]&amp;"-Q-COI")&gt;0,"COI",IF(COUNTIF(RPS[helper],RPI[[#This Row],[Strand]]&amp;"-Q-NCOI")&gt;0,"NCOI",""))),"")</f>
        <v>COI</v>
      </c>
      <c r="E11" s="13">
        <v>1</v>
      </c>
      <c r="F11" s="317" t="b">
        <f>VLOOKUP(RPI[[#This Row],[Strand]],indSelect_RP,7,FALSE)</f>
        <v>0</v>
      </c>
      <c r="G11" s="322" t="str">
        <f>IF(AND(career_stage="P",teacher_type="R",RPI[[#This Row],[CO]]="COI/NCOI",RPI[[#This Row],[Selected]]),VLOOKUP(RPI[[#This Row],[Strand]],coi_ncoi_select,COLUMNS(coi_ncoi_select),FALSE),RPI[[#This Row],[CO]])</f>
        <v>COI</v>
      </c>
      <c r="H11" s="323">
        <f>VLOOKUP(RPI[[#This Row],[Strand]],indSelect_RP,6,FALSE)</f>
        <v>0</v>
      </c>
      <c r="I11" s="320" t="str">
        <f>IFERROR(IF(AND(RPI[[#This Row],[Selected]],RPI[[#This Row],[CO]]="COI/NCOI"),VLOOKUP(RPI[[#This Row],[Strand]],indSelect_RP,9,FALSE),RPI[[#This Row],[CO]]),RPI[[#This Row],[CO]])</f>
        <v>COI</v>
      </c>
      <c r="J11" s="320" t="b">
        <f>IF(AND(required_cot&gt;=1,RPI[[#This Row],[Selected]]),VLOOKUP(RPI[[#This Row],[Strand]],indSelect_RP,10,FALSE)=1,FALSE)</f>
        <v>0</v>
      </c>
      <c r="K11" s="320" t="b">
        <f>IF(AND(required_cot&gt;=2,RPI[[#This Row],[Selected]]),VLOOKUP(RPI[[#This Row],[Strand]],indSelect_RP,11,FALSE)=1,FALSE)</f>
        <v>0</v>
      </c>
      <c r="L11" s="320" t="b">
        <f>IF(AND(required_cot&gt;=3,RPI[[#This Row],[Selected]]),VLOOKUP(RPI[[#This Row],[Strand]],indSelect_RP,12,FALSE)=1,FALSE)</f>
        <v>0</v>
      </c>
      <c r="M11" s="320" t="b">
        <f>IF(AND(required_cot&gt;=4,RPI[[#This Row],[Selected]]),VLOOKUP(RPI[[#This Row],[Strand]],indSelect_RP,13,FALSE)=1,FALSE)</f>
        <v>0</v>
      </c>
    </row>
    <row r="12" spans="1:13" ht="45" x14ac:dyDescent="0.25">
      <c r="A12" s="22" t="s">
        <v>1292</v>
      </c>
      <c r="B12" s="18" t="s">
        <v>1293</v>
      </c>
      <c r="C12" s="13">
        <v>2</v>
      </c>
      <c r="D12" s="320" t="str">
        <f>IFERROR(IF(AND(COUNTIF(RPS[helper],RPI[[#This Row],[Strand]]&amp;"-Q-COI")&gt;0,COUNTIF(RPS[helper],RPI[[#This Row],[Strand]]&amp;"-Q-NCOI")&gt;0),"COI/NCOI",IF(COUNTIF(RPS[helper],RPI[[#This Row],[Strand]]&amp;"-Q-COI")&gt;0,"COI",IF(COUNTIF(RPS[helper],RPI[[#This Row],[Strand]]&amp;"-Q-NCOI")&gt;0,"NCOI",""))),"")</f>
        <v>COI/NCOI</v>
      </c>
      <c r="E12" s="13">
        <v>3</v>
      </c>
      <c r="F12" s="317" t="b">
        <f>VLOOKUP(RPI[[#This Row],[Strand]],indSelect_RP,7,FALSE)</f>
        <v>0</v>
      </c>
      <c r="G12" s="322" t="str">
        <f>IF(AND(career_stage="P",teacher_type="R",RPI[[#This Row],[CO]]="COI/NCOI",RPI[[#This Row],[Selected]]),VLOOKUP(RPI[[#This Row],[Strand]],coi_ncoi_select,COLUMNS(coi_ncoi_select),FALSE),RPI[[#This Row],[CO]])</f>
        <v>COI/NCOI</v>
      </c>
      <c r="H12" s="323">
        <f>VLOOKUP(RPI[[#This Row],[Strand]],indSelect_RP,6,FALSE)</f>
        <v>0</v>
      </c>
      <c r="I12" s="320" t="str">
        <f>IFERROR(IF(AND(RPI[[#This Row],[Selected]],RPI[[#This Row],[CO]]="COI/NCOI"),VLOOKUP(RPI[[#This Row],[Strand]],indSelect_RP,9,FALSE),RPI[[#This Row],[CO]]),RPI[[#This Row],[CO]])</f>
        <v>COI/NCOI</v>
      </c>
      <c r="J12" s="320" t="b">
        <f>IF(AND(required_cot&gt;=1,RPI[[#This Row],[Selected]]),VLOOKUP(RPI[[#This Row],[Strand]],indSelect_RP,10,FALSE)=1,FALSE)</f>
        <v>0</v>
      </c>
      <c r="K12" s="320" t="b">
        <f>IF(AND(required_cot&gt;=2,RPI[[#This Row],[Selected]]),VLOOKUP(RPI[[#This Row],[Strand]],indSelect_RP,11,FALSE)=1,FALSE)</f>
        <v>0</v>
      </c>
      <c r="L12" s="320" t="b">
        <f>IF(AND(required_cot&gt;=3,RPI[[#This Row],[Selected]]),VLOOKUP(RPI[[#This Row],[Strand]],indSelect_RP,12,FALSE)=1,FALSE)</f>
        <v>0</v>
      </c>
      <c r="M12" s="320" t="b">
        <f>IF(AND(required_cot&gt;=4,RPI[[#This Row],[Selected]]),VLOOKUP(RPI[[#This Row],[Strand]],indSelect_RP,13,FALSE)=1,FALSE)</f>
        <v>0</v>
      </c>
    </row>
    <row r="13" spans="1:13" ht="60" x14ac:dyDescent="0.25">
      <c r="A13" s="22" t="s">
        <v>1294</v>
      </c>
      <c r="B13" s="18" t="s">
        <v>1295</v>
      </c>
      <c r="C13" s="13">
        <v>2</v>
      </c>
      <c r="D13" s="320" t="str">
        <f>IFERROR(IF(AND(COUNTIF(RPS[helper],RPI[[#This Row],[Strand]]&amp;"-Q-COI")&gt;0,COUNTIF(RPS[helper],RPI[[#This Row],[Strand]]&amp;"-Q-NCOI")&gt;0),"COI/NCOI",IF(COUNTIF(RPS[helper],RPI[[#This Row],[Strand]]&amp;"-Q-COI")&gt;0,"COI",IF(COUNTIF(RPS[helper],RPI[[#This Row],[Strand]]&amp;"-Q-NCOI")&gt;0,"NCOI",""))),"")</f>
        <v>COI/NCOI</v>
      </c>
      <c r="E13" s="13">
        <v>3</v>
      </c>
      <c r="F13" s="317" t="b">
        <f>VLOOKUP(RPI[[#This Row],[Strand]],indSelect_RP,7,FALSE)</f>
        <v>0</v>
      </c>
      <c r="G13" s="322" t="str">
        <f>IF(AND(career_stage="P",teacher_type="R",RPI[[#This Row],[CO]]="COI/NCOI",RPI[[#This Row],[Selected]]),VLOOKUP(RPI[[#This Row],[Strand]],coi_ncoi_select,COLUMNS(coi_ncoi_select),FALSE),RPI[[#This Row],[CO]])</f>
        <v>COI/NCOI</v>
      </c>
      <c r="H13" s="323">
        <f>VLOOKUP(RPI[[#This Row],[Strand]],indSelect_RP,6,FALSE)</f>
        <v>0</v>
      </c>
      <c r="I13" s="320" t="str">
        <f>IFERROR(IF(AND(RPI[[#This Row],[Selected]],RPI[[#This Row],[CO]]="COI/NCOI"),VLOOKUP(RPI[[#This Row],[Strand]],indSelect_RP,9,FALSE),RPI[[#This Row],[CO]]),RPI[[#This Row],[CO]])</f>
        <v>COI/NCOI</v>
      </c>
      <c r="J13" s="320" t="b">
        <f>IF(AND(required_cot&gt;=1,RPI[[#This Row],[Selected]]),VLOOKUP(RPI[[#This Row],[Strand]],indSelect_RP,10,FALSE)=1,FALSE)</f>
        <v>0</v>
      </c>
      <c r="K13" s="320" t="b">
        <f>IF(AND(required_cot&gt;=2,RPI[[#This Row],[Selected]]),VLOOKUP(RPI[[#This Row],[Strand]],indSelect_RP,11,FALSE)=1,FALSE)</f>
        <v>0</v>
      </c>
      <c r="L13" s="320" t="b">
        <f>IF(AND(required_cot&gt;=3,RPI[[#This Row],[Selected]]),VLOOKUP(RPI[[#This Row],[Strand]],indSelect_RP,12,FALSE)=1,FALSE)</f>
        <v>0</v>
      </c>
      <c r="M13" s="320" t="b">
        <f>IF(AND(required_cot&gt;=4,RPI[[#This Row],[Selected]]),VLOOKUP(RPI[[#This Row],[Strand]],indSelect_RP,13,FALSE)=1,FALSE)</f>
        <v>0</v>
      </c>
    </row>
    <row r="14" spans="1:13" ht="45" x14ac:dyDescent="0.25">
      <c r="A14" s="22" t="s">
        <v>1296</v>
      </c>
      <c r="B14" s="18" t="s">
        <v>1297</v>
      </c>
      <c r="C14" s="13">
        <v>2</v>
      </c>
      <c r="D14" s="320" t="str">
        <f>IFERROR(IF(AND(COUNTIF(RPS[helper],RPI[[#This Row],[Strand]]&amp;"-Q-COI")&gt;0,COUNTIF(RPS[helper],RPI[[#This Row],[Strand]]&amp;"-Q-NCOI")&gt;0),"COI/NCOI",IF(COUNTIF(RPS[helper],RPI[[#This Row],[Strand]]&amp;"-Q-COI")&gt;0,"COI",IF(COUNTIF(RPS[helper],RPI[[#This Row],[Strand]]&amp;"-Q-NCOI")&gt;0,"NCOI",""))),"")</f>
        <v>COI</v>
      </c>
      <c r="E14" s="13">
        <v>1</v>
      </c>
      <c r="F14" s="317" t="b">
        <f>VLOOKUP(RPI[[#This Row],[Strand]],indSelect_RP,7,FALSE)</f>
        <v>0</v>
      </c>
      <c r="G14" s="322" t="str">
        <f>IF(AND(career_stage="P",teacher_type="R",RPI[[#This Row],[CO]]="COI/NCOI",RPI[[#This Row],[Selected]]),VLOOKUP(RPI[[#This Row],[Strand]],coi_ncoi_select,COLUMNS(coi_ncoi_select),FALSE),RPI[[#This Row],[CO]])</f>
        <v>COI</v>
      </c>
      <c r="H14" s="323">
        <f>VLOOKUP(RPI[[#This Row],[Strand]],indSelect_RP,6,FALSE)</f>
        <v>0</v>
      </c>
      <c r="I14" s="320" t="str">
        <f>IFERROR(IF(AND(RPI[[#This Row],[Selected]],RPI[[#This Row],[CO]]="COI/NCOI"),VLOOKUP(RPI[[#This Row],[Strand]],indSelect_RP,9,FALSE),RPI[[#This Row],[CO]]),RPI[[#This Row],[CO]])</f>
        <v>COI</v>
      </c>
      <c r="J14" s="320" t="b">
        <f>IF(AND(required_cot&gt;=1,RPI[[#This Row],[Selected]]),VLOOKUP(RPI[[#This Row],[Strand]],indSelect_RP,10,FALSE)=1,FALSE)</f>
        <v>0</v>
      </c>
      <c r="K14" s="320" t="b">
        <f>IF(AND(required_cot&gt;=2,RPI[[#This Row],[Selected]]),VLOOKUP(RPI[[#This Row],[Strand]],indSelect_RP,11,FALSE)=1,FALSE)</f>
        <v>0</v>
      </c>
      <c r="L14" s="320" t="b">
        <f>IF(AND(required_cot&gt;=3,RPI[[#This Row],[Selected]]),VLOOKUP(RPI[[#This Row],[Strand]],indSelect_RP,12,FALSE)=1,FALSE)</f>
        <v>0</v>
      </c>
      <c r="M14" s="320" t="b">
        <f>IF(AND(required_cot&gt;=4,RPI[[#This Row],[Selected]]),VLOOKUP(RPI[[#This Row],[Strand]],indSelect_RP,13,FALSE)=1,FALSE)</f>
        <v>0</v>
      </c>
    </row>
    <row r="15" spans="1:13" ht="60" x14ac:dyDescent="0.25">
      <c r="A15" s="22" t="s">
        <v>1298</v>
      </c>
      <c r="B15" s="18" t="s">
        <v>1299</v>
      </c>
      <c r="C15" s="13">
        <v>2</v>
      </c>
      <c r="D15" s="320" t="str">
        <f>IFERROR(IF(AND(COUNTIF(RPS[helper],RPI[[#This Row],[Strand]]&amp;"-Q-COI")&gt;0,COUNTIF(RPS[helper],RPI[[#This Row],[Strand]]&amp;"-Q-NCOI")&gt;0),"COI/NCOI",IF(COUNTIF(RPS[helper],RPI[[#This Row],[Strand]]&amp;"-Q-COI")&gt;0,"COI",IF(COUNTIF(RPS[helper],RPI[[#This Row],[Strand]]&amp;"-Q-NCOI")&gt;0,"NCOI",""))),"")</f>
        <v>COI</v>
      </c>
      <c r="E15" s="13">
        <v>1</v>
      </c>
      <c r="F15" s="317" t="b">
        <f>VLOOKUP(RPI[[#This Row],[Strand]],indSelect_RP,7,FALSE)</f>
        <v>0</v>
      </c>
      <c r="G15" s="322" t="str">
        <f>IF(AND(career_stage="P",teacher_type="R",RPI[[#This Row],[CO]]="COI/NCOI",RPI[[#This Row],[Selected]]),VLOOKUP(RPI[[#This Row],[Strand]],coi_ncoi_select,COLUMNS(coi_ncoi_select),FALSE),RPI[[#This Row],[CO]])</f>
        <v>COI</v>
      </c>
      <c r="H15" s="323">
        <f>VLOOKUP(RPI[[#This Row],[Strand]],indSelect_RP,6,FALSE)</f>
        <v>0</v>
      </c>
      <c r="I15" s="320" t="str">
        <f>IFERROR(IF(AND(RPI[[#This Row],[Selected]],RPI[[#This Row],[CO]]="COI/NCOI"),VLOOKUP(RPI[[#This Row],[Strand]],indSelect_RP,9,FALSE),RPI[[#This Row],[CO]]),RPI[[#This Row],[CO]])</f>
        <v>COI</v>
      </c>
      <c r="J15" s="320" t="b">
        <f>IF(AND(required_cot&gt;=1,RPI[[#This Row],[Selected]]),VLOOKUP(RPI[[#This Row],[Strand]],indSelect_RP,10,FALSE)=1,FALSE)</f>
        <v>0</v>
      </c>
      <c r="K15" s="320" t="b">
        <f>IF(AND(required_cot&gt;=2,RPI[[#This Row],[Selected]]),VLOOKUP(RPI[[#This Row],[Strand]],indSelect_RP,11,FALSE)=1,FALSE)</f>
        <v>0</v>
      </c>
      <c r="L15" s="320" t="b">
        <f>IF(AND(required_cot&gt;=3,RPI[[#This Row],[Selected]]),VLOOKUP(RPI[[#This Row],[Strand]],indSelect_RP,12,FALSE)=1,FALSE)</f>
        <v>0</v>
      </c>
      <c r="M15" s="320" t="b">
        <f>IF(AND(required_cot&gt;=4,RPI[[#This Row],[Selected]]),VLOOKUP(RPI[[#This Row],[Strand]],indSelect_RP,13,FALSE)=1,FALSE)</f>
        <v>0</v>
      </c>
    </row>
    <row r="16" spans="1:13" ht="60" x14ac:dyDescent="0.25">
      <c r="A16" s="22" t="s">
        <v>1300</v>
      </c>
      <c r="B16" s="19" t="s">
        <v>1301</v>
      </c>
      <c r="C16" s="13">
        <v>2</v>
      </c>
      <c r="D16" s="320" t="str">
        <f>IFERROR(IF(AND(COUNTIF(RPS[helper],RPI[[#This Row],[Strand]]&amp;"-Q-COI")&gt;0,COUNTIF(RPS[helper],RPI[[#This Row],[Strand]]&amp;"-Q-NCOI")&gt;0),"COI/NCOI",IF(COUNTIF(RPS[helper],RPI[[#This Row],[Strand]]&amp;"-Q-COI")&gt;0,"COI",IF(COUNTIF(RPS[helper],RPI[[#This Row],[Strand]]&amp;"-Q-NCOI")&gt;0,"NCOI",""))),"")</f>
        <v>COI</v>
      </c>
      <c r="E16" s="13">
        <v>2</v>
      </c>
      <c r="F16" s="317" t="b">
        <f>VLOOKUP(RPI[[#This Row],[Strand]],indSelect_RP,7,FALSE)</f>
        <v>1</v>
      </c>
      <c r="G16" s="322" t="str">
        <f>IF(AND(career_stage="P",teacher_type="R",RPI[[#This Row],[CO]]="COI/NCOI",RPI[[#This Row],[Selected]]),VLOOKUP(RPI[[#This Row],[Strand]],coi_ncoi_select,COLUMNS(coi_ncoi_select),FALSE),RPI[[#This Row],[CO]])</f>
        <v>COI</v>
      </c>
      <c r="H16" s="323">
        <f>VLOOKUP(RPI[[#This Row],[Strand]],indSelect_RP,6,FALSE)</f>
        <v>7.0000000000000007E-2</v>
      </c>
      <c r="I16" s="320" t="str">
        <f>IFERROR(IF(AND(RPI[[#This Row],[Selected]],RPI[[#This Row],[CO]]="COI/NCOI"),VLOOKUP(RPI[[#This Row],[Strand]],indSelect_RP,9,FALSE),RPI[[#This Row],[CO]]),RPI[[#This Row],[CO]])</f>
        <v>COI</v>
      </c>
      <c r="J16" s="320" t="b">
        <f>IF(AND(required_cot&gt;=1,RPI[[#This Row],[Selected]]),VLOOKUP(RPI[[#This Row],[Strand]],indSelect_RP,10,FALSE)=1,FALSE)</f>
        <v>0</v>
      </c>
      <c r="K16" s="320" t="b">
        <f>IF(AND(required_cot&gt;=2,RPI[[#This Row],[Selected]]),VLOOKUP(RPI[[#This Row],[Strand]],indSelect_RP,11,FALSE)=1,FALSE)</f>
        <v>1</v>
      </c>
      <c r="L16" s="320" t="b">
        <f>IF(AND(required_cot&gt;=3,RPI[[#This Row],[Selected]]),VLOOKUP(RPI[[#This Row],[Strand]],indSelect_RP,12,FALSE)=1,FALSE)</f>
        <v>0</v>
      </c>
      <c r="M16" s="320" t="b">
        <f>IF(AND(required_cot&gt;=4,RPI[[#This Row],[Selected]]),VLOOKUP(RPI[[#This Row],[Strand]],indSelect_RP,13,FALSE)=1,FALSE)</f>
        <v>1</v>
      </c>
    </row>
    <row r="17" spans="1:13" ht="45" x14ac:dyDescent="0.25">
      <c r="A17" s="22" t="s">
        <v>1302</v>
      </c>
      <c r="B17" s="18" t="s">
        <v>1303</v>
      </c>
      <c r="C17" s="13">
        <v>2</v>
      </c>
      <c r="D17" s="320" t="str">
        <f>IFERROR(IF(AND(COUNTIF(RPS[helper],RPI[[#This Row],[Strand]]&amp;"-Q-COI")&gt;0,COUNTIF(RPS[helper],RPI[[#This Row],[Strand]]&amp;"-Q-NCOI")&gt;0),"COI/NCOI",IF(COUNTIF(RPS[helper],RPI[[#This Row],[Strand]]&amp;"-Q-COI")&gt;0,"COI",IF(COUNTIF(RPS[helper],RPI[[#This Row],[Strand]]&amp;"-Q-NCOI")&gt;0,"NCOI",""))),"")</f>
        <v>COI/NCOI</v>
      </c>
      <c r="E17" s="13">
        <v>3</v>
      </c>
      <c r="F17" s="317" t="b">
        <f>VLOOKUP(RPI[[#This Row],[Strand]],indSelect_RP,7,FALSE)</f>
        <v>0</v>
      </c>
      <c r="G17" s="322" t="str">
        <f>IF(AND(career_stage="P",teacher_type="R",RPI[[#This Row],[CO]]="COI/NCOI",RPI[[#This Row],[Selected]]),VLOOKUP(RPI[[#This Row],[Strand]],coi_ncoi_select,COLUMNS(coi_ncoi_select),FALSE),RPI[[#This Row],[CO]])</f>
        <v>COI/NCOI</v>
      </c>
      <c r="H17" s="323">
        <f>VLOOKUP(RPI[[#This Row],[Strand]],indSelect_RP,6,FALSE)</f>
        <v>0</v>
      </c>
      <c r="I17" s="320" t="str">
        <f>IFERROR(IF(AND(RPI[[#This Row],[Selected]],RPI[[#This Row],[CO]]="COI/NCOI"),VLOOKUP(RPI[[#This Row],[Strand]],indSelect_RP,9,FALSE),RPI[[#This Row],[CO]]),RPI[[#This Row],[CO]])</f>
        <v>COI/NCOI</v>
      </c>
      <c r="J17" s="320" t="b">
        <f>IF(AND(required_cot&gt;=1,RPI[[#This Row],[Selected]]),VLOOKUP(RPI[[#This Row],[Strand]],indSelect_RP,10,FALSE)=1,FALSE)</f>
        <v>0</v>
      </c>
      <c r="K17" s="320" t="b">
        <f>IF(AND(required_cot&gt;=2,RPI[[#This Row],[Selected]]),VLOOKUP(RPI[[#This Row],[Strand]],indSelect_RP,11,FALSE)=1,FALSE)</f>
        <v>0</v>
      </c>
      <c r="L17" s="320" t="b">
        <f>IF(AND(required_cot&gt;=3,RPI[[#This Row],[Selected]]),VLOOKUP(RPI[[#This Row],[Strand]],indSelect_RP,12,FALSE)=1,FALSE)</f>
        <v>0</v>
      </c>
      <c r="M17" s="320" t="b">
        <f>IF(AND(required_cot&gt;=4,RPI[[#This Row],[Selected]]),VLOOKUP(RPI[[#This Row],[Strand]],indSelect_RP,13,FALSE)=1,FALSE)</f>
        <v>0</v>
      </c>
    </row>
    <row r="18" spans="1:13" ht="105" x14ac:dyDescent="0.25">
      <c r="A18" s="22" t="s">
        <v>1304</v>
      </c>
      <c r="B18" s="19" t="s">
        <v>1305</v>
      </c>
      <c r="C18" s="13">
        <v>2</v>
      </c>
      <c r="D18" s="320" t="str">
        <f>IFERROR(IF(AND(COUNTIF(RPS[helper],RPI[[#This Row],[Strand]]&amp;"-Q-COI")&gt;0,COUNTIF(RPS[helper],RPI[[#This Row],[Strand]]&amp;"-Q-NCOI")&gt;0),"COI/NCOI",IF(COUNTIF(RPS[helper],RPI[[#This Row],[Strand]]&amp;"-Q-COI")&gt;0,"COI",IF(COUNTIF(RPS[helper],RPI[[#This Row],[Strand]]&amp;"-Q-NCOI")&gt;0,"NCOI",""))),"")</f>
        <v>COI</v>
      </c>
      <c r="E18" s="13">
        <v>2</v>
      </c>
      <c r="F18" s="317" t="b">
        <f>VLOOKUP(RPI[[#This Row],[Strand]],indSelect_RP,7,FALSE)</f>
        <v>0</v>
      </c>
      <c r="G18" s="322" t="str">
        <f>IF(AND(career_stage="P",teacher_type="R",RPI[[#This Row],[CO]]="COI/NCOI",RPI[[#This Row],[Selected]]),VLOOKUP(RPI[[#This Row],[Strand]],coi_ncoi_select,COLUMNS(coi_ncoi_select),FALSE),RPI[[#This Row],[CO]])</f>
        <v>COI</v>
      </c>
      <c r="H18" s="323">
        <f>VLOOKUP(RPI[[#This Row],[Strand]],indSelect_RP,6,FALSE)</f>
        <v>0</v>
      </c>
      <c r="I18" s="320" t="str">
        <f>IFERROR(IF(AND(RPI[[#This Row],[Selected]],RPI[[#This Row],[CO]]="COI/NCOI"),VLOOKUP(RPI[[#This Row],[Strand]],indSelect_RP,9,FALSE),RPI[[#This Row],[CO]]),RPI[[#This Row],[CO]])</f>
        <v>COI</v>
      </c>
      <c r="J18" s="320" t="b">
        <f>IF(AND(required_cot&gt;=1,RPI[[#This Row],[Selected]]),VLOOKUP(RPI[[#This Row],[Strand]],indSelect_RP,10,FALSE)=1,FALSE)</f>
        <v>0</v>
      </c>
      <c r="K18" s="320" t="b">
        <f>IF(AND(required_cot&gt;=2,RPI[[#This Row],[Selected]]),VLOOKUP(RPI[[#This Row],[Strand]],indSelect_RP,11,FALSE)=1,FALSE)</f>
        <v>0</v>
      </c>
      <c r="L18" s="320" t="b">
        <f>IF(AND(required_cot&gt;=3,RPI[[#This Row],[Selected]]),VLOOKUP(RPI[[#This Row],[Strand]],indSelect_RP,12,FALSE)=1,FALSE)</f>
        <v>0</v>
      </c>
      <c r="M18" s="320" t="b">
        <f>IF(AND(required_cot&gt;=4,RPI[[#This Row],[Selected]]),VLOOKUP(RPI[[#This Row],[Strand]],indSelect_RP,13,FALSE)=1,FALSE)</f>
        <v>0</v>
      </c>
    </row>
    <row r="19" spans="1:13" ht="45" x14ac:dyDescent="0.25">
      <c r="A19" s="22" t="s">
        <v>1306</v>
      </c>
      <c r="B19" s="18" t="s">
        <v>1307</v>
      </c>
      <c r="C19" s="13">
        <v>2</v>
      </c>
      <c r="D19" s="320" t="str">
        <f>IFERROR(IF(AND(COUNTIF(RPS[helper],RPI[[#This Row],[Strand]]&amp;"-Q-COI")&gt;0,COUNTIF(RPS[helper],RPI[[#This Row],[Strand]]&amp;"-Q-NCOI")&gt;0),"COI/NCOI",IF(COUNTIF(RPS[helper],RPI[[#This Row],[Strand]]&amp;"-Q-COI")&gt;0,"COI",IF(COUNTIF(RPS[helper],RPI[[#This Row],[Strand]]&amp;"-Q-NCOI")&gt;0,"NCOI",""))),"")</f>
        <v>COI</v>
      </c>
      <c r="E19" s="13">
        <v>3</v>
      </c>
      <c r="F19" s="317" t="b">
        <f>VLOOKUP(RPI[[#This Row],[Strand]],indSelect_RP,7,FALSE)</f>
        <v>1</v>
      </c>
      <c r="G19" s="322" t="str">
        <f>IF(AND(career_stage="P",teacher_type="R",RPI[[#This Row],[CO]]="COI/NCOI",RPI[[#This Row],[Selected]]),VLOOKUP(RPI[[#This Row],[Strand]],coi_ncoi_select,COLUMNS(coi_ncoi_select),FALSE),RPI[[#This Row],[CO]])</f>
        <v>COI</v>
      </c>
      <c r="H19" s="323">
        <f>VLOOKUP(RPI[[#This Row],[Strand]],indSelect_RP,6,FALSE)</f>
        <v>7.0000000000000007E-2</v>
      </c>
      <c r="I19" s="320" t="str">
        <f>IFERROR(IF(AND(RPI[[#This Row],[Selected]],RPI[[#This Row],[CO]]="COI/NCOI"),VLOOKUP(RPI[[#This Row],[Strand]],indSelect_RP,9,FALSE),RPI[[#This Row],[CO]]),RPI[[#This Row],[CO]])</f>
        <v>COI</v>
      </c>
      <c r="J19" s="320" t="b">
        <f>IF(AND(required_cot&gt;=1,RPI[[#This Row],[Selected]]),VLOOKUP(RPI[[#This Row],[Strand]],indSelect_RP,10,FALSE)=1,FALSE)</f>
        <v>0</v>
      </c>
      <c r="K19" s="320" t="b">
        <f>IF(AND(required_cot&gt;=2,RPI[[#This Row],[Selected]]),VLOOKUP(RPI[[#This Row],[Strand]],indSelect_RP,11,FALSE)=1,FALSE)</f>
        <v>1</v>
      </c>
      <c r="L19" s="320" t="b">
        <f>IF(AND(required_cot&gt;=3,RPI[[#This Row],[Selected]]),VLOOKUP(RPI[[#This Row],[Strand]],indSelect_RP,12,FALSE)=1,FALSE)</f>
        <v>0</v>
      </c>
      <c r="M19" s="320" t="b">
        <f>IF(AND(required_cot&gt;=4,RPI[[#This Row],[Selected]]),VLOOKUP(RPI[[#This Row],[Strand]],indSelect_RP,13,FALSE)=1,FALSE)</f>
        <v>1</v>
      </c>
    </row>
    <row r="20" spans="1:13" ht="66" customHeight="1" x14ac:dyDescent="0.25">
      <c r="A20" s="22" t="s">
        <v>1308</v>
      </c>
      <c r="B20" s="18" t="s">
        <v>1309</v>
      </c>
      <c r="C20" s="13">
        <v>3</v>
      </c>
      <c r="D20" s="320" t="str">
        <f>IFERROR(IF(AND(COUNTIF(RPS[helper],RPI[[#This Row],[Strand]]&amp;"-Q-COI")&gt;0,COUNTIF(RPS[helper],RPI[[#This Row],[Strand]]&amp;"-Q-NCOI")&gt;0),"COI/NCOI",IF(COUNTIF(RPS[helper],RPI[[#This Row],[Strand]]&amp;"-Q-COI")&gt;0,"COI",IF(COUNTIF(RPS[helper],RPI[[#This Row],[Strand]]&amp;"-Q-NCOI")&gt;0,"NCOI",""))),"")</f>
        <v>COI</v>
      </c>
      <c r="E20" s="13">
        <v>1</v>
      </c>
      <c r="F20" s="317" t="b">
        <f>VLOOKUP(RPI[[#This Row],[Strand]],indSelect_RP,7,FALSE)</f>
        <v>0</v>
      </c>
      <c r="G20" s="322" t="str">
        <f>IF(AND(career_stage="P",teacher_type="R",RPI[[#This Row],[CO]]="COI/NCOI",RPI[[#This Row],[Selected]]),VLOOKUP(RPI[[#This Row],[Strand]],coi_ncoi_select,COLUMNS(coi_ncoi_select),FALSE),RPI[[#This Row],[CO]])</f>
        <v>COI</v>
      </c>
      <c r="H20" s="323">
        <f>VLOOKUP(RPI[[#This Row],[Strand]],indSelect_RP,6,FALSE)</f>
        <v>0</v>
      </c>
      <c r="I20" s="320" t="str">
        <f>IFERROR(IF(AND(RPI[[#This Row],[Selected]],RPI[[#This Row],[CO]]="COI/NCOI"),VLOOKUP(RPI[[#This Row],[Strand]],indSelect_RP,9,FALSE),RPI[[#This Row],[CO]]),RPI[[#This Row],[CO]])</f>
        <v>COI</v>
      </c>
      <c r="J20" s="320" t="b">
        <f>IF(AND(required_cot&gt;=1,RPI[[#This Row],[Selected]]),VLOOKUP(RPI[[#This Row],[Strand]],indSelect_RP,10,FALSE)=1,FALSE)</f>
        <v>0</v>
      </c>
      <c r="K20" s="320" t="b">
        <f>IF(AND(required_cot&gt;=2,RPI[[#This Row],[Selected]]),VLOOKUP(RPI[[#This Row],[Strand]],indSelect_RP,11,FALSE)=1,FALSE)</f>
        <v>0</v>
      </c>
      <c r="L20" s="320" t="b">
        <f>IF(AND(required_cot&gt;=3,RPI[[#This Row],[Selected]]),VLOOKUP(RPI[[#This Row],[Strand]],indSelect_RP,12,FALSE)=1,FALSE)</f>
        <v>0</v>
      </c>
      <c r="M20" s="320" t="b">
        <f>IF(AND(required_cot&gt;=4,RPI[[#This Row],[Selected]]),VLOOKUP(RPI[[#This Row],[Strand]],indSelect_RP,13,FALSE)=1,FALSE)</f>
        <v>0</v>
      </c>
    </row>
    <row r="21" spans="1:13" ht="45" x14ac:dyDescent="0.25">
      <c r="A21" s="22" t="s">
        <v>1310</v>
      </c>
      <c r="B21" s="19" t="s">
        <v>1311</v>
      </c>
      <c r="C21" s="13">
        <v>3</v>
      </c>
      <c r="D21" s="320" t="str">
        <f>IFERROR(IF(AND(COUNTIF(RPS[helper],RPI[[#This Row],[Strand]]&amp;"-Q-COI")&gt;0,COUNTIF(RPS[helper],RPI[[#This Row],[Strand]]&amp;"-Q-NCOI")&gt;0),"COI/NCOI",IF(COUNTIF(RPS[helper],RPI[[#This Row],[Strand]]&amp;"-Q-COI")&gt;0,"COI",IF(COUNTIF(RPS[helper],RPI[[#This Row],[Strand]]&amp;"-Q-NCOI")&gt;0,"NCOI",""))),"")</f>
        <v>NCOI</v>
      </c>
      <c r="E21" s="13">
        <v>2</v>
      </c>
      <c r="F21" s="317" t="b">
        <f>VLOOKUP(RPI[[#This Row],[Strand]],indSelect_RP,7,FALSE)</f>
        <v>1</v>
      </c>
      <c r="G21" s="322" t="str">
        <f>IF(AND(career_stage="P",teacher_type="R",RPI[[#This Row],[CO]]="COI/NCOI",RPI[[#This Row],[Selected]]),VLOOKUP(RPI[[#This Row],[Strand]],coi_ncoi_select,COLUMNS(coi_ncoi_select),FALSE),RPI[[#This Row],[CO]])</f>
        <v>NCOI</v>
      </c>
      <c r="H21" s="323">
        <f>VLOOKUP(RPI[[#This Row],[Strand]],indSelect_RP,6,FALSE)</f>
        <v>7.0000000000000007E-2</v>
      </c>
      <c r="I21" s="320" t="str">
        <f>IFERROR(IF(AND(RPI[[#This Row],[Selected]],RPI[[#This Row],[CO]]="COI/NCOI"),VLOOKUP(RPI[[#This Row],[Strand]],indSelect_RP,9,FALSE),RPI[[#This Row],[CO]]),RPI[[#This Row],[CO]])</f>
        <v>NCOI</v>
      </c>
      <c r="J21" s="320" t="b">
        <f>IF(AND(required_cot&gt;=1,RPI[[#This Row],[Selected]]),VLOOKUP(RPI[[#This Row],[Strand]],indSelect_RP,10,FALSE)=1,FALSE)</f>
        <v>0</v>
      </c>
      <c r="K21" s="320" t="b">
        <f>IF(AND(required_cot&gt;=2,RPI[[#This Row],[Selected]]),VLOOKUP(RPI[[#This Row],[Strand]],indSelect_RP,11,FALSE)=1,FALSE)</f>
        <v>0</v>
      </c>
      <c r="L21" s="320" t="b">
        <f>IF(AND(required_cot&gt;=3,RPI[[#This Row],[Selected]]),VLOOKUP(RPI[[#This Row],[Strand]],indSelect_RP,12,FALSE)=1,FALSE)</f>
        <v>0</v>
      </c>
      <c r="M21" s="320" t="b">
        <f>IF(AND(required_cot&gt;=4,RPI[[#This Row],[Selected]]),VLOOKUP(RPI[[#This Row],[Strand]],indSelect_RP,13,FALSE)=1,FALSE)</f>
        <v>0</v>
      </c>
    </row>
    <row r="22" spans="1:13" ht="44.1" customHeight="1" x14ac:dyDescent="0.25">
      <c r="A22" s="22" t="s">
        <v>1312</v>
      </c>
      <c r="B22" s="19" t="s">
        <v>1313</v>
      </c>
      <c r="C22" s="13">
        <v>3</v>
      </c>
      <c r="D22" s="320" t="str">
        <f>IFERROR(IF(AND(COUNTIF(RPS[helper],RPI[[#This Row],[Strand]]&amp;"-Q-COI")&gt;0,COUNTIF(RPS[helper],RPI[[#This Row],[Strand]]&amp;"-Q-NCOI")&gt;0),"COI/NCOI",IF(COUNTIF(RPS[helper],RPI[[#This Row],[Strand]]&amp;"-Q-COI")&gt;0,"COI",IF(COUNTIF(RPS[helper],RPI[[#This Row],[Strand]]&amp;"-Q-NCOI")&gt;0,"NCOI",""))),"")</f>
        <v>NCOI</v>
      </c>
      <c r="E22" s="13">
        <v>3</v>
      </c>
      <c r="F22" s="317" t="b">
        <f>VLOOKUP(RPI[[#This Row],[Strand]],indSelect_RP,7,FALSE)</f>
        <v>0</v>
      </c>
      <c r="G22" s="322" t="str">
        <f>IF(AND(career_stage="P",teacher_type="R",RPI[[#This Row],[CO]]="COI/NCOI",RPI[[#This Row],[Selected]]),VLOOKUP(RPI[[#This Row],[Strand]],coi_ncoi_select,COLUMNS(coi_ncoi_select),FALSE),RPI[[#This Row],[CO]])</f>
        <v>NCOI</v>
      </c>
      <c r="H22" s="323">
        <f>VLOOKUP(RPI[[#This Row],[Strand]],indSelect_RP,6,FALSE)</f>
        <v>0</v>
      </c>
      <c r="I22" s="320" t="str">
        <f>IFERROR(IF(AND(RPI[[#This Row],[Selected]],RPI[[#This Row],[CO]]="COI/NCOI"),VLOOKUP(RPI[[#This Row],[Strand]],indSelect_RP,9,FALSE),RPI[[#This Row],[CO]]),RPI[[#This Row],[CO]])</f>
        <v>NCOI</v>
      </c>
      <c r="J22" s="320" t="b">
        <f>IF(AND(required_cot&gt;=1,RPI[[#This Row],[Selected]]),VLOOKUP(RPI[[#This Row],[Strand]],indSelect_RP,10,FALSE)=1,FALSE)</f>
        <v>0</v>
      </c>
      <c r="K22" s="320" t="b">
        <f>IF(AND(required_cot&gt;=2,RPI[[#This Row],[Selected]]),VLOOKUP(RPI[[#This Row],[Strand]],indSelect_RP,11,FALSE)=1,FALSE)</f>
        <v>0</v>
      </c>
      <c r="L22" s="320" t="b">
        <f>IF(AND(required_cot&gt;=3,RPI[[#This Row],[Selected]]),VLOOKUP(RPI[[#This Row],[Strand]],indSelect_RP,12,FALSE)=1,FALSE)</f>
        <v>0</v>
      </c>
      <c r="M22" s="320" t="b">
        <f>IF(AND(required_cot&gt;=4,RPI[[#This Row],[Selected]]),VLOOKUP(RPI[[#This Row],[Strand]],indSelect_RP,13,FALSE)=1,FALSE)</f>
        <v>0</v>
      </c>
    </row>
    <row r="23" spans="1:13" ht="45" x14ac:dyDescent="0.25">
      <c r="A23" s="22" t="s">
        <v>1314</v>
      </c>
      <c r="B23" s="18" t="s">
        <v>1315</v>
      </c>
      <c r="C23" s="13">
        <v>3</v>
      </c>
      <c r="D23" s="320" t="str">
        <f>IFERROR(IF(AND(COUNTIF(RPS[helper],RPI[[#This Row],[Strand]]&amp;"-Q-COI")&gt;0,COUNTIF(RPS[helper],RPI[[#This Row],[Strand]]&amp;"-Q-NCOI")&gt;0),"COI/NCOI",IF(COUNTIF(RPS[helper],RPI[[#This Row],[Strand]]&amp;"-Q-COI")&gt;0,"COI",IF(COUNTIF(RPS[helper],RPI[[#This Row],[Strand]]&amp;"-Q-NCOI")&gt;0,"NCOI",""))),"")</f>
        <v>NCOI</v>
      </c>
      <c r="E23" s="13">
        <v>1</v>
      </c>
      <c r="F23" s="317" t="b">
        <f>VLOOKUP(RPI[[#This Row],[Strand]],indSelect_RP,7,FALSE)</f>
        <v>0</v>
      </c>
      <c r="G23" s="322" t="str">
        <f>IF(AND(career_stage="P",teacher_type="R",RPI[[#This Row],[CO]]="COI/NCOI",RPI[[#This Row],[Selected]]),VLOOKUP(RPI[[#This Row],[Strand]],coi_ncoi_select,COLUMNS(coi_ncoi_select),FALSE),RPI[[#This Row],[CO]])</f>
        <v>NCOI</v>
      </c>
      <c r="H23" s="323">
        <f>VLOOKUP(RPI[[#This Row],[Strand]],indSelect_RP,6,FALSE)</f>
        <v>0</v>
      </c>
      <c r="I23" s="320" t="str">
        <f>IFERROR(IF(AND(RPI[[#This Row],[Selected]],RPI[[#This Row],[CO]]="COI/NCOI"),VLOOKUP(RPI[[#This Row],[Strand]],indSelect_RP,9,FALSE),RPI[[#This Row],[CO]]),RPI[[#This Row],[CO]])</f>
        <v>NCOI</v>
      </c>
      <c r="J23" s="320" t="b">
        <f>IF(AND(required_cot&gt;=1,RPI[[#This Row],[Selected]]),VLOOKUP(RPI[[#This Row],[Strand]],indSelect_RP,10,FALSE)=1,FALSE)</f>
        <v>0</v>
      </c>
      <c r="K23" s="320" t="b">
        <f>IF(AND(required_cot&gt;=2,RPI[[#This Row],[Selected]]),VLOOKUP(RPI[[#This Row],[Strand]],indSelect_RP,11,FALSE)=1,FALSE)</f>
        <v>0</v>
      </c>
      <c r="L23" s="320" t="b">
        <f>IF(AND(required_cot&gt;=3,RPI[[#This Row],[Selected]]),VLOOKUP(RPI[[#This Row],[Strand]],indSelect_RP,12,FALSE)=1,FALSE)</f>
        <v>0</v>
      </c>
      <c r="M23" s="320" t="b">
        <f>IF(AND(required_cot&gt;=4,RPI[[#This Row],[Selected]]),VLOOKUP(RPI[[#This Row],[Strand]],indSelect_RP,13,FALSE)=1,FALSE)</f>
        <v>0</v>
      </c>
    </row>
    <row r="24" spans="1:13" ht="45" x14ac:dyDescent="0.25">
      <c r="A24" s="22" t="s">
        <v>1316</v>
      </c>
      <c r="B24" s="18" t="s">
        <v>1317</v>
      </c>
      <c r="C24" s="13">
        <v>3</v>
      </c>
      <c r="D24" s="320" t="str">
        <f>IFERROR(IF(AND(COUNTIF(RPS[helper],RPI[[#This Row],[Strand]]&amp;"-Q-COI")&gt;0,COUNTIF(RPS[helper],RPI[[#This Row],[Strand]]&amp;"-Q-NCOI")&gt;0),"COI/NCOI",IF(COUNTIF(RPS[helper],RPI[[#This Row],[Strand]]&amp;"-Q-COI")&gt;0,"COI",IF(COUNTIF(RPS[helper],RPI[[#This Row],[Strand]]&amp;"-Q-NCOI")&gt;0,"NCOI",""))),"")</f>
        <v>COI</v>
      </c>
      <c r="E24" s="13">
        <v>2</v>
      </c>
      <c r="F24" s="317" t="b">
        <f>VLOOKUP(RPI[[#This Row],[Strand]],indSelect_RP,7,FALSE)</f>
        <v>0</v>
      </c>
      <c r="G24" s="322" t="str">
        <f>IF(AND(career_stage="P",teacher_type="R",RPI[[#This Row],[CO]]="COI/NCOI",RPI[[#This Row],[Selected]]),VLOOKUP(RPI[[#This Row],[Strand]],coi_ncoi_select,COLUMNS(coi_ncoi_select),FALSE),RPI[[#This Row],[CO]])</f>
        <v>COI</v>
      </c>
      <c r="H24" s="323">
        <f>VLOOKUP(RPI[[#This Row],[Strand]],indSelect_RP,6,FALSE)</f>
        <v>0</v>
      </c>
      <c r="I24" s="320" t="str">
        <f>IFERROR(IF(AND(RPI[[#This Row],[Selected]],RPI[[#This Row],[CO]]="COI/NCOI"),VLOOKUP(RPI[[#This Row],[Strand]],indSelect_RP,9,FALSE),RPI[[#This Row],[CO]]),RPI[[#This Row],[CO]])</f>
        <v>COI</v>
      </c>
      <c r="J24" s="320" t="b">
        <f>IF(AND(required_cot&gt;=1,RPI[[#This Row],[Selected]]),VLOOKUP(RPI[[#This Row],[Strand]],indSelect_RP,10,FALSE)=1,FALSE)</f>
        <v>0</v>
      </c>
      <c r="K24" s="320" t="b">
        <f>IF(AND(required_cot&gt;=2,RPI[[#This Row],[Selected]]),VLOOKUP(RPI[[#This Row],[Strand]],indSelect_RP,11,FALSE)=1,FALSE)</f>
        <v>0</v>
      </c>
      <c r="L24" s="320" t="b">
        <f>IF(AND(required_cot&gt;=3,RPI[[#This Row],[Selected]]),VLOOKUP(RPI[[#This Row],[Strand]],indSelect_RP,12,FALSE)=1,FALSE)</f>
        <v>0</v>
      </c>
      <c r="M24" s="320" t="b">
        <f>IF(AND(required_cot&gt;=4,RPI[[#This Row],[Selected]]),VLOOKUP(RPI[[#This Row],[Strand]],indSelect_RP,13,FALSE)=1,FALSE)</f>
        <v>0</v>
      </c>
    </row>
    <row r="25" spans="1:13" ht="60" x14ac:dyDescent="0.25">
      <c r="A25" s="22" t="s">
        <v>1318</v>
      </c>
      <c r="B25" s="18" t="s">
        <v>1319</v>
      </c>
      <c r="C25" s="13">
        <v>4</v>
      </c>
      <c r="D25" s="320" t="str">
        <f>IFERROR(IF(AND(COUNTIF(RPS[helper],RPI[[#This Row],[Strand]]&amp;"-Q-COI")&gt;0,COUNTIF(RPS[helper],RPI[[#This Row],[Strand]]&amp;"-Q-NCOI")&gt;0),"COI/NCOI",IF(COUNTIF(RPS[helper],RPI[[#This Row],[Strand]]&amp;"-Q-COI")&gt;0,"COI",IF(COUNTIF(RPS[helper],RPI[[#This Row],[Strand]]&amp;"-Q-NCOI")&gt;0,"NCOI",""))),"")</f>
        <v>COI</v>
      </c>
      <c r="E25" s="13">
        <v>1</v>
      </c>
      <c r="F25" s="317" t="b">
        <f>VLOOKUP(RPI[[#This Row],[Strand]],indSelect_RP,7,FALSE)</f>
        <v>0</v>
      </c>
      <c r="G25" s="322" t="str">
        <f>IF(AND(career_stage="P",teacher_type="R",RPI[[#This Row],[CO]]="COI/NCOI",RPI[[#This Row],[Selected]]),VLOOKUP(RPI[[#This Row],[Strand]],coi_ncoi_select,COLUMNS(coi_ncoi_select),FALSE),RPI[[#This Row],[CO]])</f>
        <v>COI</v>
      </c>
      <c r="H25" s="323">
        <f>VLOOKUP(RPI[[#This Row],[Strand]],indSelect_RP,6,FALSE)</f>
        <v>0</v>
      </c>
      <c r="I25" s="320" t="str">
        <f>IFERROR(IF(AND(RPI[[#This Row],[Selected]],RPI[[#This Row],[CO]]="COI/NCOI"),VLOOKUP(RPI[[#This Row],[Strand]],indSelect_RP,9,FALSE),RPI[[#This Row],[CO]]),RPI[[#This Row],[CO]])</f>
        <v>COI</v>
      </c>
      <c r="J25" s="320" t="b">
        <f>IF(AND(required_cot&gt;=1,RPI[[#This Row],[Selected]]),VLOOKUP(RPI[[#This Row],[Strand]],indSelect_RP,10,FALSE)=1,FALSE)</f>
        <v>0</v>
      </c>
      <c r="K25" s="320" t="b">
        <f>IF(AND(required_cot&gt;=2,RPI[[#This Row],[Selected]]),VLOOKUP(RPI[[#This Row],[Strand]],indSelect_RP,11,FALSE)=1,FALSE)</f>
        <v>0</v>
      </c>
      <c r="L25" s="320" t="b">
        <f>IF(AND(required_cot&gt;=3,RPI[[#This Row],[Selected]]),VLOOKUP(RPI[[#This Row],[Strand]],indSelect_RP,12,FALSE)=1,FALSE)</f>
        <v>0</v>
      </c>
      <c r="M25" s="320" t="b">
        <f>IF(AND(required_cot&gt;=4,RPI[[#This Row],[Selected]]),VLOOKUP(RPI[[#This Row],[Strand]],indSelect_RP,13,FALSE)=1,FALSE)</f>
        <v>0</v>
      </c>
    </row>
    <row r="26" spans="1:13" ht="30" x14ac:dyDescent="0.25">
      <c r="A26" s="22" t="s">
        <v>1320</v>
      </c>
      <c r="B26" s="18" t="s">
        <v>1321</v>
      </c>
      <c r="C26" s="13">
        <v>4</v>
      </c>
      <c r="D26" s="320" t="str">
        <f>IFERROR(IF(AND(COUNTIF(RPS[helper],RPI[[#This Row],[Strand]]&amp;"-Q-COI")&gt;0,COUNTIF(RPS[helper],RPI[[#This Row],[Strand]]&amp;"-Q-NCOI")&gt;0),"COI/NCOI",IF(COUNTIF(RPS[helper],RPI[[#This Row],[Strand]]&amp;"-Q-COI")&gt;0,"COI",IF(COUNTIF(RPS[helper],RPI[[#This Row],[Strand]]&amp;"-Q-NCOI")&gt;0,"NCOI",""))),"")</f>
        <v>NCOI</v>
      </c>
      <c r="E26" s="13">
        <v>1</v>
      </c>
      <c r="F26" s="317" t="b">
        <f>VLOOKUP(RPI[[#This Row],[Strand]],indSelect_RP,7,FALSE)</f>
        <v>0</v>
      </c>
      <c r="G26" s="322" t="str">
        <f>IF(AND(career_stage="P",teacher_type="R",RPI[[#This Row],[CO]]="COI/NCOI",RPI[[#This Row],[Selected]]),VLOOKUP(RPI[[#This Row],[Strand]],coi_ncoi_select,COLUMNS(coi_ncoi_select),FALSE),RPI[[#This Row],[CO]])</f>
        <v>NCOI</v>
      </c>
      <c r="H26" s="323">
        <f>VLOOKUP(RPI[[#This Row],[Strand]],indSelect_RP,6,FALSE)</f>
        <v>0</v>
      </c>
      <c r="I26" s="320" t="str">
        <f>IFERROR(IF(AND(RPI[[#This Row],[Selected]],RPI[[#This Row],[CO]]="COI/NCOI"),VLOOKUP(RPI[[#This Row],[Strand]],indSelect_RP,9,FALSE),RPI[[#This Row],[CO]]),RPI[[#This Row],[CO]])</f>
        <v>NCOI</v>
      </c>
      <c r="J26" s="320" t="b">
        <f>IF(AND(required_cot&gt;=1,RPI[[#This Row],[Selected]]),VLOOKUP(RPI[[#This Row],[Strand]],indSelect_RP,10,FALSE)=1,FALSE)</f>
        <v>0</v>
      </c>
      <c r="K26" s="320" t="b">
        <f>IF(AND(required_cot&gt;=2,RPI[[#This Row],[Selected]]),VLOOKUP(RPI[[#This Row],[Strand]],indSelect_RP,11,FALSE)=1,FALSE)</f>
        <v>0</v>
      </c>
      <c r="L26" s="320" t="b">
        <f>IF(AND(required_cot&gt;=3,RPI[[#This Row],[Selected]]),VLOOKUP(RPI[[#This Row],[Strand]],indSelect_RP,12,FALSE)=1,FALSE)</f>
        <v>0</v>
      </c>
      <c r="M26" s="320" t="b">
        <f>IF(AND(required_cot&gt;=4,RPI[[#This Row],[Selected]]),VLOOKUP(RPI[[#This Row],[Strand]],indSelect_RP,13,FALSE)=1,FALSE)</f>
        <v>0</v>
      </c>
    </row>
    <row r="27" spans="1:13" ht="45" x14ac:dyDescent="0.25">
      <c r="A27" s="22" t="s">
        <v>1322</v>
      </c>
      <c r="B27" s="18" t="s">
        <v>1323</v>
      </c>
      <c r="C27" s="13">
        <v>3</v>
      </c>
      <c r="D27" s="320" t="str">
        <f>IFERROR(IF(AND(COUNTIF(RPS[helper],RPI[[#This Row],[Strand]]&amp;"-Q-COI")&gt;0,COUNTIF(RPS[helper],RPI[[#This Row],[Strand]]&amp;"-Q-NCOI")&gt;0),"COI/NCOI",IF(COUNTIF(RPS[helper],RPI[[#This Row],[Strand]]&amp;"-Q-COI")&gt;0,"COI",IF(COUNTIF(RPS[helper],RPI[[#This Row],[Strand]]&amp;"-Q-NCOI")&gt;0,"NCOI",""))),"")</f>
        <v>COI</v>
      </c>
      <c r="E27" s="13">
        <v>2</v>
      </c>
      <c r="F27" s="317" t="b">
        <f>VLOOKUP(RPI[[#This Row],[Strand]],indSelect_RP,7,FALSE)</f>
        <v>1</v>
      </c>
      <c r="G27" s="322" t="str">
        <f>IF(AND(career_stage="P",teacher_type="R",RPI[[#This Row],[CO]]="COI/NCOI",RPI[[#This Row],[Selected]]),VLOOKUP(RPI[[#This Row],[Strand]],coi_ncoi_select,COLUMNS(coi_ncoi_select),FALSE),RPI[[#This Row],[CO]])</f>
        <v>COI</v>
      </c>
      <c r="H27" s="323">
        <f>VLOOKUP(RPI[[#This Row],[Strand]],indSelect_RP,6,FALSE)</f>
        <v>7.0000000000000007E-2</v>
      </c>
      <c r="I27" s="320" t="str">
        <f>IFERROR(IF(AND(RPI[[#This Row],[Selected]],RPI[[#This Row],[CO]]="COI/NCOI"),VLOOKUP(RPI[[#This Row],[Strand]],indSelect_RP,9,FALSE),RPI[[#This Row],[CO]]),RPI[[#This Row],[CO]])</f>
        <v>COI</v>
      </c>
      <c r="J27" s="320" t="b">
        <f>IF(AND(required_cot&gt;=1,RPI[[#This Row],[Selected]]),VLOOKUP(RPI[[#This Row],[Strand]],indSelect_RP,10,FALSE)=1,FALSE)</f>
        <v>0</v>
      </c>
      <c r="K27" s="320" t="b">
        <f>IF(AND(required_cot&gt;=2,RPI[[#This Row],[Selected]]),VLOOKUP(RPI[[#This Row],[Strand]],indSelect_RP,11,FALSE)=1,FALSE)</f>
        <v>1</v>
      </c>
      <c r="L27" s="320" t="b">
        <f>IF(AND(required_cot&gt;=3,RPI[[#This Row],[Selected]]),VLOOKUP(RPI[[#This Row],[Strand]],indSelect_RP,12,FALSE)=1,FALSE)</f>
        <v>0</v>
      </c>
      <c r="M27" s="320" t="b">
        <f>IF(AND(required_cot&gt;=4,RPI[[#This Row],[Selected]]),VLOOKUP(RPI[[#This Row],[Strand]],indSelect_RP,13,FALSE)=1,FALSE)</f>
        <v>1</v>
      </c>
    </row>
    <row r="28" spans="1:13" ht="45" x14ac:dyDescent="0.25">
      <c r="A28" s="22" t="s">
        <v>1324</v>
      </c>
      <c r="B28" s="18" t="s">
        <v>1325</v>
      </c>
      <c r="C28" s="13">
        <v>4</v>
      </c>
      <c r="D28" s="320" t="str">
        <f>IFERROR(IF(AND(COUNTIF(RPS[helper],RPI[[#This Row],[Strand]]&amp;"-Q-COI")&gt;0,COUNTIF(RPS[helper],RPI[[#This Row],[Strand]]&amp;"-Q-NCOI")&gt;0),"COI/NCOI",IF(COUNTIF(RPS[helper],RPI[[#This Row],[Strand]]&amp;"-Q-COI")&gt;0,"COI",IF(COUNTIF(RPS[helper],RPI[[#This Row],[Strand]]&amp;"-Q-NCOI")&gt;0,"NCOI",""))),"")</f>
        <v>NCOI</v>
      </c>
      <c r="E28" s="13">
        <v>1</v>
      </c>
      <c r="F28" s="317" t="b">
        <f>VLOOKUP(RPI[[#This Row],[Strand]],indSelect_RP,7,FALSE)</f>
        <v>0</v>
      </c>
      <c r="G28" s="322" t="str">
        <f>IF(AND(career_stage="P",teacher_type="R",RPI[[#This Row],[CO]]="COI/NCOI",RPI[[#This Row],[Selected]]),VLOOKUP(RPI[[#This Row],[Strand]],coi_ncoi_select,COLUMNS(coi_ncoi_select),FALSE),RPI[[#This Row],[CO]])</f>
        <v>NCOI</v>
      </c>
      <c r="H28" s="323">
        <f>VLOOKUP(RPI[[#This Row],[Strand]],indSelect_RP,6,FALSE)</f>
        <v>0</v>
      </c>
      <c r="I28" s="320" t="str">
        <f>IFERROR(IF(AND(RPI[[#This Row],[Selected]],RPI[[#This Row],[CO]]="COI/NCOI"),VLOOKUP(RPI[[#This Row],[Strand]],indSelect_RP,9,FALSE),RPI[[#This Row],[CO]]),RPI[[#This Row],[CO]])</f>
        <v>NCOI</v>
      </c>
      <c r="J28" s="320" t="b">
        <f>IF(AND(required_cot&gt;=1,RPI[[#This Row],[Selected]]),VLOOKUP(RPI[[#This Row],[Strand]],indSelect_RP,10,FALSE)=1,FALSE)</f>
        <v>0</v>
      </c>
      <c r="K28" s="320" t="b">
        <f>IF(AND(required_cot&gt;=2,RPI[[#This Row],[Selected]]),VLOOKUP(RPI[[#This Row],[Strand]],indSelect_RP,11,FALSE)=1,FALSE)</f>
        <v>0</v>
      </c>
      <c r="L28" s="320" t="b">
        <f>IF(AND(required_cot&gt;=3,RPI[[#This Row],[Selected]]),VLOOKUP(RPI[[#This Row],[Strand]],indSelect_RP,12,FALSE)=1,FALSE)</f>
        <v>0</v>
      </c>
      <c r="M28" s="320" t="b">
        <f>IF(AND(required_cot&gt;=4,RPI[[#This Row],[Selected]]),VLOOKUP(RPI[[#This Row],[Strand]],indSelect_RP,13,FALSE)=1,FALSE)</f>
        <v>0</v>
      </c>
    </row>
    <row r="29" spans="1:13" ht="45" x14ac:dyDescent="0.25">
      <c r="A29" s="22" t="s">
        <v>1326</v>
      </c>
      <c r="B29" s="19" t="s">
        <v>1327</v>
      </c>
      <c r="C29" s="13">
        <v>3</v>
      </c>
      <c r="D29" s="320" t="str">
        <f>IFERROR(IF(AND(COUNTIF(RPS[helper],RPI[[#This Row],[Strand]]&amp;"-Q-COI")&gt;0,COUNTIF(RPS[helper],RPI[[#This Row],[Strand]]&amp;"-Q-NCOI")&gt;0),"COI/NCOI",IF(COUNTIF(RPS[helper],RPI[[#This Row],[Strand]]&amp;"-Q-COI")&gt;0,"COI",IF(COUNTIF(RPS[helper],RPI[[#This Row],[Strand]]&amp;"-Q-NCOI")&gt;0,"NCOI",""))),"")</f>
        <v>NCOI</v>
      </c>
      <c r="E29" s="13">
        <v>3</v>
      </c>
      <c r="F29" s="317" t="b">
        <f>VLOOKUP(RPI[[#This Row],[Strand]],indSelect_RP,7,FALSE)</f>
        <v>1</v>
      </c>
      <c r="G29" s="322" t="str">
        <f>IF(AND(career_stage="P",teacher_type="R",RPI[[#This Row],[CO]]="COI/NCOI",RPI[[#This Row],[Selected]]),VLOOKUP(RPI[[#This Row],[Strand]],coi_ncoi_select,COLUMNS(coi_ncoi_select),FALSE),RPI[[#This Row],[CO]])</f>
        <v>NCOI</v>
      </c>
      <c r="H29" s="323">
        <f>VLOOKUP(RPI[[#This Row],[Strand]],indSelect_RP,6,FALSE)</f>
        <v>7.0000000000000007E-2</v>
      </c>
      <c r="I29" s="320" t="str">
        <f>IFERROR(IF(AND(RPI[[#This Row],[Selected]],RPI[[#This Row],[CO]]="COI/NCOI"),VLOOKUP(RPI[[#This Row],[Strand]],indSelect_RP,9,FALSE),RPI[[#This Row],[CO]]),RPI[[#This Row],[CO]])</f>
        <v>NCOI</v>
      </c>
      <c r="J29" s="320" t="b">
        <f>IF(AND(required_cot&gt;=1,RPI[[#This Row],[Selected]]),VLOOKUP(RPI[[#This Row],[Strand]],indSelect_RP,10,FALSE)=1,FALSE)</f>
        <v>0</v>
      </c>
      <c r="K29" s="320" t="b">
        <f>IF(AND(required_cot&gt;=2,RPI[[#This Row],[Selected]]),VLOOKUP(RPI[[#This Row],[Strand]],indSelect_RP,11,FALSE)=1,FALSE)</f>
        <v>0</v>
      </c>
      <c r="L29" s="320" t="b">
        <f>IF(AND(required_cot&gt;=3,RPI[[#This Row],[Selected]]),VLOOKUP(RPI[[#This Row],[Strand]],indSelect_RP,12,FALSE)=1,FALSE)</f>
        <v>0</v>
      </c>
      <c r="M29" s="320" t="b">
        <f>IF(AND(required_cot&gt;=4,RPI[[#This Row],[Selected]]),VLOOKUP(RPI[[#This Row],[Strand]],indSelect_RP,13,FALSE)=1,FALSE)</f>
        <v>0</v>
      </c>
    </row>
    <row r="30" spans="1:13" ht="30" x14ac:dyDescent="0.25">
      <c r="A30" s="22" t="s">
        <v>1328</v>
      </c>
      <c r="B30" s="19" t="s">
        <v>1329</v>
      </c>
      <c r="C30" s="13">
        <v>6</v>
      </c>
      <c r="D30" s="320" t="str">
        <f>IFERROR(IF(AND(COUNTIF(RPS[helper],RPI[[#This Row],[Strand]]&amp;"-Q-COI")&gt;0,COUNTIF(RPS[helper],RPI[[#This Row],[Strand]]&amp;"-Q-NCOI")&gt;0),"COI/NCOI",IF(COUNTIF(RPS[helper],RPI[[#This Row],[Strand]]&amp;"-Q-COI")&gt;0,"COI",IF(COUNTIF(RPS[helper],RPI[[#This Row],[Strand]]&amp;"-Q-NCOI")&gt;0,"NCOI",""))),"")</f>
        <v>NCOI</v>
      </c>
      <c r="E30" s="13">
        <v>3</v>
      </c>
      <c r="F30" s="317" t="b">
        <f>VLOOKUP(RPI[[#This Row],[Strand]],indSelect_RP,7,FALSE)</f>
        <v>0</v>
      </c>
      <c r="G30" s="322" t="str">
        <f>IF(AND(career_stage="P",teacher_type="R",RPI[[#This Row],[CO]]="COI/NCOI",RPI[[#This Row],[Selected]]),VLOOKUP(RPI[[#This Row],[Strand]],coi_ncoi_select,COLUMNS(coi_ncoi_select),FALSE),RPI[[#This Row],[CO]])</f>
        <v>NCOI</v>
      </c>
      <c r="H30" s="323">
        <f>VLOOKUP(RPI[[#This Row],[Strand]],indSelect_RP,6,FALSE)</f>
        <v>0</v>
      </c>
      <c r="I30" s="320" t="str">
        <f>IFERROR(IF(AND(RPI[[#This Row],[Selected]],RPI[[#This Row],[CO]]="COI/NCOI"),VLOOKUP(RPI[[#This Row],[Strand]],indSelect_RP,9,FALSE),RPI[[#This Row],[CO]]),RPI[[#This Row],[CO]])</f>
        <v>NCOI</v>
      </c>
      <c r="J30" s="320" t="b">
        <f>IF(AND(required_cot&gt;=1,RPI[[#This Row],[Selected]]),VLOOKUP(RPI[[#This Row],[Strand]],indSelect_RP,10,FALSE)=1,FALSE)</f>
        <v>0</v>
      </c>
      <c r="K30" s="320" t="b">
        <f>IF(AND(required_cot&gt;=2,RPI[[#This Row],[Selected]]),VLOOKUP(RPI[[#This Row],[Strand]],indSelect_RP,11,FALSE)=1,FALSE)</f>
        <v>0</v>
      </c>
      <c r="L30" s="320" t="b">
        <f>IF(AND(required_cot&gt;=3,RPI[[#This Row],[Selected]]),VLOOKUP(RPI[[#This Row],[Strand]],indSelect_RP,12,FALSE)=1,FALSE)</f>
        <v>0</v>
      </c>
      <c r="M30" s="320" t="b">
        <f>IF(AND(required_cot&gt;=4,RPI[[#This Row],[Selected]]),VLOOKUP(RPI[[#This Row],[Strand]],indSelect_RP,13,FALSE)=1,FALSE)</f>
        <v>0</v>
      </c>
    </row>
    <row r="31" spans="1:13" ht="45" x14ac:dyDescent="0.25">
      <c r="A31" s="22" t="s">
        <v>1330</v>
      </c>
      <c r="B31" s="18" t="s">
        <v>1331</v>
      </c>
      <c r="C31" s="13">
        <v>4</v>
      </c>
      <c r="D31" s="320" t="str">
        <f>IFERROR(IF(AND(COUNTIF(RPS[helper],RPI[[#This Row],[Strand]]&amp;"-Q-COI")&gt;0,COUNTIF(RPS[helper],RPI[[#This Row],[Strand]]&amp;"-Q-NCOI")&gt;0),"COI/NCOI",IF(COUNTIF(RPS[helper],RPI[[#This Row],[Strand]]&amp;"-Q-COI")&gt;0,"COI",IF(COUNTIF(RPS[helper],RPI[[#This Row],[Strand]]&amp;"-Q-NCOI")&gt;0,"NCOI",""))),"")</f>
        <v>NCOI</v>
      </c>
      <c r="E31" s="13">
        <v>2</v>
      </c>
      <c r="F31" s="317" t="b">
        <f>VLOOKUP(RPI[[#This Row],[Strand]],indSelect_RP,7,FALSE)</f>
        <v>1</v>
      </c>
      <c r="G31" s="322" t="str">
        <f>IF(AND(career_stage="P",teacher_type="R",RPI[[#This Row],[CO]]="COI/NCOI",RPI[[#This Row],[Selected]]),VLOOKUP(RPI[[#This Row],[Strand]],coi_ncoi_select,COLUMNS(coi_ncoi_select),FALSE),RPI[[#This Row],[CO]])</f>
        <v>NCOI</v>
      </c>
      <c r="H31" s="323">
        <f>VLOOKUP(RPI[[#This Row],[Strand]],indSelect_RP,6,FALSE)</f>
        <v>7.0000000000000007E-2</v>
      </c>
      <c r="I31" s="320" t="str">
        <f>IFERROR(IF(AND(RPI[[#This Row],[Selected]],RPI[[#This Row],[CO]]="COI/NCOI"),VLOOKUP(RPI[[#This Row],[Strand]],indSelect_RP,9,FALSE),RPI[[#This Row],[CO]]),RPI[[#This Row],[CO]])</f>
        <v>NCOI</v>
      </c>
      <c r="J31" s="320" t="b">
        <f>IF(AND(required_cot&gt;=1,RPI[[#This Row],[Selected]]),VLOOKUP(RPI[[#This Row],[Strand]],indSelect_RP,10,FALSE)=1,FALSE)</f>
        <v>0</v>
      </c>
      <c r="K31" s="320" t="b">
        <f>IF(AND(required_cot&gt;=2,RPI[[#This Row],[Selected]]),VLOOKUP(RPI[[#This Row],[Strand]],indSelect_RP,11,FALSE)=1,FALSE)</f>
        <v>0</v>
      </c>
      <c r="L31" s="320" t="b">
        <f>IF(AND(required_cot&gt;=3,RPI[[#This Row],[Selected]]),VLOOKUP(RPI[[#This Row],[Strand]],indSelect_RP,12,FALSE)=1,FALSE)</f>
        <v>0</v>
      </c>
      <c r="M31" s="320" t="b">
        <f>IF(AND(required_cot&gt;=4,RPI[[#This Row],[Selected]]),VLOOKUP(RPI[[#This Row],[Strand]],indSelect_RP,13,FALSE)=1,FALSE)</f>
        <v>0</v>
      </c>
    </row>
    <row r="32" spans="1:13" ht="72" customHeight="1" x14ac:dyDescent="0.25">
      <c r="A32" s="22" t="s">
        <v>1332</v>
      </c>
      <c r="B32" s="19" t="s">
        <v>1333</v>
      </c>
      <c r="C32" s="13">
        <v>6</v>
      </c>
      <c r="D32" s="320" t="str">
        <f>IFERROR(IF(AND(COUNTIF(RPS[helper],RPI[[#This Row],[Strand]]&amp;"-Q-COI")&gt;0,COUNTIF(RPS[helper],RPI[[#This Row],[Strand]]&amp;"-Q-NCOI")&gt;0),"COI/NCOI",IF(COUNTIF(RPS[helper],RPI[[#This Row],[Strand]]&amp;"-Q-COI")&gt;0,"COI",IF(COUNTIF(RPS[helper],RPI[[#This Row],[Strand]]&amp;"-Q-NCOI")&gt;0,"NCOI",""))),"")</f>
        <v>NCOI</v>
      </c>
      <c r="E32" s="13">
        <v>3</v>
      </c>
      <c r="F32" s="317" t="b">
        <f>VLOOKUP(RPI[[#This Row],[Strand]],indSelect_RP,7,FALSE)</f>
        <v>0</v>
      </c>
      <c r="G32" s="322" t="str">
        <f>IF(AND(career_stage="P",teacher_type="R",RPI[[#This Row],[CO]]="COI/NCOI",RPI[[#This Row],[Selected]]),VLOOKUP(RPI[[#This Row],[Strand]],coi_ncoi_select,COLUMNS(coi_ncoi_select),FALSE),RPI[[#This Row],[CO]])</f>
        <v>NCOI</v>
      </c>
      <c r="H32" s="323">
        <f>VLOOKUP(RPI[[#This Row],[Strand]],indSelect_RP,6,FALSE)</f>
        <v>0</v>
      </c>
      <c r="I32" s="320" t="str">
        <f>IFERROR(IF(AND(RPI[[#This Row],[Selected]],RPI[[#This Row],[CO]]="COI/NCOI"),VLOOKUP(RPI[[#This Row],[Strand]],indSelect_RP,9,FALSE),RPI[[#This Row],[CO]]),RPI[[#This Row],[CO]])</f>
        <v>NCOI</v>
      </c>
      <c r="J32" s="320" t="b">
        <f>IF(AND(required_cot&gt;=1,RPI[[#This Row],[Selected]]),VLOOKUP(RPI[[#This Row],[Strand]],indSelect_RP,10,FALSE)=1,FALSE)</f>
        <v>0</v>
      </c>
      <c r="K32" s="320" t="b">
        <f>IF(AND(required_cot&gt;=2,RPI[[#This Row],[Selected]]),VLOOKUP(RPI[[#This Row],[Strand]],indSelect_RP,11,FALSE)=1,FALSE)</f>
        <v>0</v>
      </c>
      <c r="L32" s="320" t="b">
        <f>IF(AND(required_cot&gt;=3,RPI[[#This Row],[Selected]]),VLOOKUP(RPI[[#This Row],[Strand]],indSelect_RP,12,FALSE)=1,FALSE)</f>
        <v>0</v>
      </c>
      <c r="M32" s="320" t="b">
        <f>IF(AND(required_cot&gt;=4,RPI[[#This Row],[Selected]]),VLOOKUP(RPI[[#This Row],[Strand]],indSelect_RP,13,FALSE)=1,FALSE)</f>
        <v>0</v>
      </c>
    </row>
    <row r="33" spans="1:13" ht="60" x14ac:dyDescent="0.25">
      <c r="A33" s="22" t="s">
        <v>1334</v>
      </c>
      <c r="B33" s="19" t="s">
        <v>1335</v>
      </c>
      <c r="C33" s="13">
        <v>6</v>
      </c>
      <c r="D33" s="320" t="str">
        <f>IFERROR(IF(AND(COUNTIF(RPS[helper],RPI[[#This Row],[Strand]]&amp;"-Q-COI")&gt;0,COUNTIF(RPS[helper],RPI[[#This Row],[Strand]]&amp;"-Q-NCOI")&gt;0),"COI/NCOI",IF(COUNTIF(RPS[helper],RPI[[#This Row],[Strand]]&amp;"-Q-COI")&gt;0,"COI",IF(COUNTIF(RPS[helper],RPI[[#This Row],[Strand]]&amp;"-Q-NCOI")&gt;0,"NCOI",""))),"")</f>
        <v>NCOI</v>
      </c>
      <c r="E33" s="13">
        <v>3</v>
      </c>
      <c r="F33" s="317" t="b">
        <f>VLOOKUP(RPI[[#This Row],[Strand]],indSelect_RP,7,FALSE)</f>
        <v>0</v>
      </c>
      <c r="G33" s="322" t="str">
        <f>IF(AND(career_stage="P",teacher_type="R",RPI[[#This Row],[CO]]="COI/NCOI",RPI[[#This Row],[Selected]]),VLOOKUP(RPI[[#This Row],[Strand]],coi_ncoi_select,COLUMNS(coi_ncoi_select),FALSE),RPI[[#This Row],[CO]])</f>
        <v>NCOI</v>
      </c>
      <c r="H33" s="323">
        <f>VLOOKUP(RPI[[#This Row],[Strand]],indSelect_RP,6,FALSE)</f>
        <v>0</v>
      </c>
      <c r="I33" s="320" t="str">
        <f>IFERROR(IF(AND(RPI[[#This Row],[Selected]],RPI[[#This Row],[CO]]="COI/NCOI"),VLOOKUP(RPI[[#This Row],[Strand]],indSelect_RP,9,FALSE),RPI[[#This Row],[CO]]),RPI[[#This Row],[CO]])</f>
        <v>NCOI</v>
      </c>
      <c r="J33" s="320" t="b">
        <f>IF(AND(required_cot&gt;=1,RPI[[#This Row],[Selected]]),VLOOKUP(RPI[[#This Row],[Strand]],indSelect_RP,10,FALSE)=1,FALSE)</f>
        <v>0</v>
      </c>
      <c r="K33" s="320" t="b">
        <f>IF(AND(required_cot&gt;=2,RPI[[#This Row],[Selected]]),VLOOKUP(RPI[[#This Row],[Strand]],indSelect_RP,11,FALSE)=1,FALSE)</f>
        <v>0</v>
      </c>
      <c r="L33" s="320" t="b">
        <f>IF(AND(required_cot&gt;=3,RPI[[#This Row],[Selected]]),VLOOKUP(RPI[[#This Row],[Strand]],indSelect_RP,12,FALSE)=1,FALSE)</f>
        <v>0</v>
      </c>
      <c r="M33" s="320" t="b">
        <f>IF(AND(required_cot&gt;=4,RPI[[#This Row],[Selected]]),VLOOKUP(RPI[[#This Row],[Strand]],indSelect_RP,13,FALSE)=1,FALSE)</f>
        <v>0</v>
      </c>
    </row>
    <row r="34" spans="1:13" ht="30" x14ac:dyDescent="0.25">
      <c r="A34" s="22" t="s">
        <v>1336</v>
      </c>
      <c r="B34" s="19" t="s">
        <v>1337</v>
      </c>
      <c r="C34" s="13">
        <v>5</v>
      </c>
      <c r="D34" s="320" t="str">
        <f>IFERROR(IF(AND(COUNTIF(RPS[helper],RPI[[#This Row],[Strand]]&amp;"-Q-COI")&gt;0,COUNTIF(RPS[helper],RPI[[#This Row],[Strand]]&amp;"-Q-NCOI")&gt;0),"COI/NCOI",IF(COUNTIF(RPS[helper],RPI[[#This Row],[Strand]]&amp;"-Q-COI")&gt;0,"COI",IF(COUNTIF(RPS[helper],RPI[[#This Row],[Strand]]&amp;"-Q-NCOI")&gt;0,"NCOI",""))),"")</f>
        <v>NCOI</v>
      </c>
      <c r="E34" s="13">
        <v>3</v>
      </c>
      <c r="F34" s="317" t="b">
        <f>VLOOKUP(RPI[[#This Row],[Strand]],indSelect_RP,7,FALSE)</f>
        <v>0</v>
      </c>
      <c r="G34" s="322" t="str">
        <f>IF(AND(career_stage="P",teacher_type="R",RPI[[#This Row],[CO]]="COI/NCOI",RPI[[#This Row],[Selected]]),VLOOKUP(RPI[[#This Row],[Strand]],coi_ncoi_select,COLUMNS(coi_ncoi_select),FALSE),RPI[[#This Row],[CO]])</f>
        <v>NCOI</v>
      </c>
      <c r="H34" s="323">
        <f>VLOOKUP(RPI[[#This Row],[Strand]],indSelect_RP,6,FALSE)</f>
        <v>0</v>
      </c>
      <c r="I34" s="320" t="str">
        <f>IFERROR(IF(AND(RPI[[#This Row],[Selected]],RPI[[#This Row],[CO]]="COI/NCOI"),VLOOKUP(RPI[[#This Row],[Strand]],indSelect_RP,9,FALSE),RPI[[#This Row],[CO]]),RPI[[#This Row],[CO]])</f>
        <v>NCOI</v>
      </c>
      <c r="J34" s="320" t="b">
        <f>IF(AND(required_cot&gt;=1,RPI[[#This Row],[Selected]]),VLOOKUP(RPI[[#This Row],[Strand]],indSelect_RP,10,FALSE)=1,FALSE)</f>
        <v>0</v>
      </c>
      <c r="K34" s="320" t="b">
        <f>IF(AND(required_cot&gt;=2,RPI[[#This Row],[Selected]]),VLOOKUP(RPI[[#This Row],[Strand]],indSelect_RP,11,FALSE)=1,FALSE)</f>
        <v>0</v>
      </c>
      <c r="L34" s="320" t="b">
        <f>IF(AND(required_cot&gt;=3,RPI[[#This Row],[Selected]]),VLOOKUP(RPI[[#This Row],[Strand]],indSelect_RP,12,FALSE)=1,FALSE)</f>
        <v>0</v>
      </c>
      <c r="M34" s="320" t="b">
        <f>IF(AND(required_cot&gt;=4,RPI[[#This Row],[Selected]]),VLOOKUP(RPI[[#This Row],[Strand]],indSelect_RP,13,FALSE)=1,FALSE)</f>
        <v>0</v>
      </c>
    </row>
    <row r="35" spans="1:13" ht="45" x14ac:dyDescent="0.25">
      <c r="A35" s="22" t="s">
        <v>1338</v>
      </c>
      <c r="B35" s="19" t="s">
        <v>1339</v>
      </c>
      <c r="C35" s="13">
        <v>5</v>
      </c>
      <c r="D35" s="320" t="str">
        <f>IFERROR(IF(AND(COUNTIF(RPS[helper],RPI[[#This Row],[Strand]]&amp;"-Q-COI")&gt;0,COUNTIF(RPS[helper],RPI[[#This Row],[Strand]]&amp;"-Q-NCOI")&gt;0),"COI/NCOI",IF(COUNTIF(RPS[helper],RPI[[#This Row],[Strand]]&amp;"-Q-COI")&gt;0,"COI",IF(COUNTIF(RPS[helper],RPI[[#This Row],[Strand]]&amp;"-Q-NCOI")&gt;0,"NCOI",""))),"")</f>
        <v>NCOI</v>
      </c>
      <c r="E35" s="13">
        <v>3</v>
      </c>
      <c r="F35" s="317" t="b">
        <f>VLOOKUP(RPI[[#This Row],[Strand]],indSelect_RP,7,FALSE)</f>
        <v>0</v>
      </c>
      <c r="G35" s="322" t="str">
        <f>IF(AND(career_stage="P",teacher_type="R",RPI[[#This Row],[CO]]="COI/NCOI",RPI[[#This Row],[Selected]]),VLOOKUP(RPI[[#This Row],[Strand]],coi_ncoi_select,COLUMNS(coi_ncoi_select),FALSE),RPI[[#This Row],[CO]])</f>
        <v>NCOI</v>
      </c>
      <c r="H35" s="323">
        <f>VLOOKUP(RPI[[#This Row],[Strand]],indSelect_RP,6,FALSE)</f>
        <v>0</v>
      </c>
      <c r="I35" s="320" t="str">
        <f>IFERROR(IF(AND(RPI[[#This Row],[Selected]],RPI[[#This Row],[CO]]="COI/NCOI"),VLOOKUP(RPI[[#This Row],[Strand]],indSelect_RP,9,FALSE),RPI[[#This Row],[CO]]),RPI[[#This Row],[CO]])</f>
        <v>NCOI</v>
      </c>
      <c r="J35" s="320" t="b">
        <f>IF(AND(required_cot&gt;=1,RPI[[#This Row],[Selected]]),VLOOKUP(RPI[[#This Row],[Strand]],indSelect_RP,10,FALSE)=1,FALSE)</f>
        <v>0</v>
      </c>
      <c r="K35" s="320" t="b">
        <f>IF(AND(required_cot&gt;=2,RPI[[#This Row],[Selected]]),VLOOKUP(RPI[[#This Row],[Strand]],indSelect_RP,11,FALSE)=1,FALSE)</f>
        <v>0</v>
      </c>
      <c r="L35" s="320" t="b">
        <f>IF(AND(required_cot&gt;=3,RPI[[#This Row],[Selected]]),VLOOKUP(RPI[[#This Row],[Strand]],indSelect_RP,12,FALSE)=1,FALSE)</f>
        <v>0</v>
      </c>
      <c r="M35" s="320" t="b">
        <f>IF(AND(required_cot&gt;=4,RPI[[#This Row],[Selected]]),VLOOKUP(RPI[[#This Row],[Strand]],indSelect_RP,13,FALSE)=1,FALSE)</f>
        <v>0</v>
      </c>
    </row>
    <row r="36" spans="1:13" ht="30" x14ac:dyDescent="0.25">
      <c r="A36" s="22" t="s">
        <v>1340</v>
      </c>
      <c r="B36" s="18" t="s">
        <v>1341</v>
      </c>
      <c r="C36" s="13">
        <v>4</v>
      </c>
      <c r="D36" s="320" t="str">
        <f>IFERROR(IF(AND(COUNTIF(RPS[helper],RPI[[#This Row],[Strand]]&amp;"-Q-COI")&gt;0,COUNTIF(RPS[helper],RPI[[#This Row],[Strand]]&amp;"-Q-NCOI")&gt;0),"COI/NCOI",IF(COUNTIF(RPS[helper],RPI[[#This Row],[Strand]]&amp;"-Q-COI")&gt;0,"COI",IF(COUNTIF(RPS[helper],RPI[[#This Row],[Strand]]&amp;"-Q-NCOI")&gt;0,"NCOI",""))),"")</f>
        <v>NCOI</v>
      </c>
      <c r="E36" s="13">
        <v>2</v>
      </c>
      <c r="F36" s="317" t="b">
        <f>VLOOKUP(RPI[[#This Row],[Strand]],indSelect_RP,7,FALSE)</f>
        <v>1</v>
      </c>
      <c r="G36" s="322" t="str">
        <f>IF(AND(career_stage="P",teacher_type="R",RPI[[#This Row],[CO]]="COI/NCOI",RPI[[#This Row],[Selected]]),VLOOKUP(RPI[[#This Row],[Strand]],coi_ncoi_select,COLUMNS(coi_ncoi_select),FALSE),RPI[[#This Row],[CO]])</f>
        <v>NCOI</v>
      </c>
      <c r="H36" s="323">
        <f>VLOOKUP(RPI[[#This Row],[Strand]],indSelect_RP,6,FALSE)</f>
        <v>7.0000000000000007E-2</v>
      </c>
      <c r="I36" s="320" t="str">
        <f>IFERROR(IF(AND(RPI[[#This Row],[Selected]],RPI[[#This Row],[CO]]="COI/NCOI"),VLOOKUP(RPI[[#This Row],[Strand]],indSelect_RP,9,FALSE),RPI[[#This Row],[CO]]),RPI[[#This Row],[CO]])</f>
        <v>NCOI</v>
      </c>
      <c r="J36" s="320" t="b">
        <f>IF(AND(required_cot&gt;=1,RPI[[#This Row],[Selected]]),VLOOKUP(RPI[[#This Row],[Strand]],indSelect_RP,10,FALSE)=1,FALSE)</f>
        <v>0</v>
      </c>
      <c r="K36" s="320" t="b">
        <f>IF(AND(required_cot&gt;=2,RPI[[#This Row],[Selected]]),VLOOKUP(RPI[[#This Row],[Strand]],indSelect_RP,11,FALSE)=1,FALSE)</f>
        <v>0</v>
      </c>
      <c r="L36" s="320" t="b">
        <f>IF(AND(required_cot&gt;=3,RPI[[#This Row],[Selected]]),VLOOKUP(RPI[[#This Row],[Strand]],indSelect_RP,12,FALSE)=1,FALSE)</f>
        <v>0</v>
      </c>
      <c r="M36" s="320" t="b">
        <f>IF(AND(required_cot&gt;=4,RPI[[#This Row],[Selected]]),VLOOKUP(RPI[[#This Row],[Strand]],indSelect_RP,13,FALSE)=1,FALSE)</f>
        <v>0</v>
      </c>
    </row>
    <row r="37" spans="1:13" ht="45" x14ac:dyDescent="0.25">
      <c r="A37" s="22" t="s">
        <v>1342</v>
      </c>
      <c r="B37" s="18" t="s">
        <v>1343</v>
      </c>
      <c r="C37" s="13">
        <v>4</v>
      </c>
      <c r="D37" s="320" t="str">
        <f>IFERROR(IF(AND(COUNTIF(RPS[helper],RPI[[#This Row],[Strand]]&amp;"-Q-COI")&gt;0,COUNTIF(RPS[helper],RPI[[#This Row],[Strand]]&amp;"-Q-NCOI")&gt;0),"COI/NCOI",IF(COUNTIF(RPS[helper],RPI[[#This Row],[Strand]]&amp;"-Q-COI")&gt;0,"COI",IF(COUNTIF(RPS[helper],RPI[[#This Row],[Strand]]&amp;"-Q-NCOI")&gt;0,"NCOI",""))),"")</f>
        <v>NCOI</v>
      </c>
      <c r="E37" s="13">
        <v>2</v>
      </c>
      <c r="F37" s="317" t="b">
        <f>VLOOKUP(RPI[[#This Row],[Strand]],indSelect_RP,7,FALSE)</f>
        <v>1</v>
      </c>
      <c r="G37" s="322" t="str">
        <f>IF(AND(career_stage="P",teacher_type="R",RPI[[#This Row],[CO]]="COI/NCOI",RPI[[#This Row],[Selected]]),VLOOKUP(RPI[[#This Row],[Strand]],coi_ncoi_select,COLUMNS(coi_ncoi_select),FALSE),RPI[[#This Row],[CO]])</f>
        <v>NCOI</v>
      </c>
      <c r="H37" s="323">
        <f>VLOOKUP(RPI[[#This Row],[Strand]],indSelect_RP,6,FALSE)</f>
        <v>7.0000000000000007E-2</v>
      </c>
      <c r="I37" s="320" t="str">
        <f>IFERROR(IF(AND(RPI[[#This Row],[Selected]],RPI[[#This Row],[CO]]="COI/NCOI"),VLOOKUP(RPI[[#This Row],[Strand]],indSelect_RP,9,FALSE),RPI[[#This Row],[CO]]),RPI[[#This Row],[CO]])</f>
        <v>NCOI</v>
      </c>
      <c r="J37" s="320" t="b">
        <f>IF(AND(required_cot&gt;=1,RPI[[#This Row],[Selected]]),VLOOKUP(RPI[[#This Row],[Strand]],indSelect_RP,10,FALSE)=1,FALSE)</f>
        <v>0</v>
      </c>
      <c r="K37" s="320" t="b">
        <f>IF(AND(required_cot&gt;=2,RPI[[#This Row],[Selected]]),VLOOKUP(RPI[[#This Row],[Strand]],indSelect_RP,11,FALSE)=1,FALSE)</f>
        <v>0</v>
      </c>
      <c r="L37" s="320" t="b">
        <f>IF(AND(required_cot&gt;=3,RPI[[#This Row],[Selected]]),VLOOKUP(RPI[[#This Row],[Strand]],indSelect_RP,12,FALSE)=1,FALSE)</f>
        <v>0</v>
      </c>
      <c r="M37" s="320" t="b">
        <f>IF(AND(required_cot&gt;=4,RPI[[#This Row],[Selected]]),VLOOKUP(RPI[[#This Row],[Strand]],indSelect_RP,13,FALSE)=1,FALSE)</f>
        <v>0</v>
      </c>
    </row>
    <row r="38" spans="1:13" ht="45" x14ac:dyDescent="0.25">
      <c r="A38" s="22" t="s">
        <v>1344</v>
      </c>
      <c r="B38" s="19" t="s">
        <v>1345</v>
      </c>
      <c r="C38" s="13">
        <v>5</v>
      </c>
      <c r="D38" s="320" t="str">
        <f>IFERROR(IF(AND(COUNTIF(RPS[helper],RPI[[#This Row],[Strand]]&amp;"-Q-COI")&gt;0,COUNTIF(RPS[helper],RPI[[#This Row],[Strand]]&amp;"-Q-NCOI")&gt;0),"COI/NCOI",IF(COUNTIF(RPS[helper],RPI[[#This Row],[Strand]]&amp;"-Q-COI")&gt;0,"COI",IF(COUNTIF(RPS[helper],RPI[[#This Row],[Strand]]&amp;"-Q-NCOI")&gt;0,"NCOI",""))),"")</f>
        <v>NCOI</v>
      </c>
      <c r="E38" s="13">
        <v>3</v>
      </c>
      <c r="F38" s="317" t="b">
        <f>VLOOKUP(RPI[[#This Row],[Strand]],indSelect_RP,7,FALSE)</f>
        <v>0</v>
      </c>
      <c r="G38" s="322" t="str">
        <f>IF(AND(career_stage="P",teacher_type="R",RPI[[#This Row],[CO]]="COI/NCOI",RPI[[#This Row],[Selected]]),VLOOKUP(RPI[[#This Row],[Strand]],coi_ncoi_select,COLUMNS(coi_ncoi_select),FALSE),RPI[[#This Row],[CO]])</f>
        <v>NCOI</v>
      </c>
      <c r="H38" s="323">
        <f>VLOOKUP(RPI[[#This Row],[Strand]],indSelect_RP,6,FALSE)</f>
        <v>0</v>
      </c>
      <c r="I38" s="320" t="str">
        <f>IFERROR(IF(AND(RPI[[#This Row],[Selected]],RPI[[#This Row],[CO]]="COI/NCOI"),VLOOKUP(RPI[[#This Row],[Strand]],indSelect_RP,9,FALSE),RPI[[#This Row],[CO]]),RPI[[#This Row],[CO]])</f>
        <v>NCOI</v>
      </c>
      <c r="J38" s="320" t="b">
        <f>IF(AND(required_cot&gt;=1,RPI[[#This Row],[Selected]]),VLOOKUP(RPI[[#This Row],[Strand]],indSelect_RP,10,FALSE)=1,FALSE)</f>
        <v>0</v>
      </c>
      <c r="K38" s="320" t="b">
        <f>IF(AND(required_cot&gt;=2,RPI[[#This Row],[Selected]]),VLOOKUP(RPI[[#This Row],[Strand]],indSelect_RP,11,FALSE)=1,FALSE)</f>
        <v>0</v>
      </c>
      <c r="L38" s="320" t="b">
        <f>IF(AND(required_cot&gt;=3,RPI[[#This Row],[Selected]]),VLOOKUP(RPI[[#This Row],[Strand]],indSelect_RP,12,FALSE)=1,FALSE)</f>
        <v>0</v>
      </c>
      <c r="M38" s="320" t="b">
        <f>IF(AND(required_cot&gt;=4,RPI[[#This Row],[Selected]]),VLOOKUP(RPI[[#This Row],[Strand]],indSelect_RP,13,FALSE)=1,FALSE)</f>
        <v>0</v>
      </c>
    </row>
    <row r="39" spans="1:13" ht="30" x14ac:dyDescent="0.25">
      <c r="A39" s="401">
        <v>15</v>
      </c>
      <c r="B39" s="25" t="s">
        <v>1346</v>
      </c>
      <c r="C39" s="26" t="s">
        <v>1268</v>
      </c>
      <c r="D39" s="320" t="str">
        <f>IFERROR(IF(AND(COUNTIF(RPS[helper],RPI[[#This Row],[Strand]]&amp;"-Q-COI")&gt;0,COUNTIF(RPS[helper],RPI[[#This Row],[Strand]]&amp;"-Q-NCOI")&gt;0),"COI/NCOI",IF(COUNTIF(RPS[helper],RPI[[#This Row],[Strand]]&amp;"-Q-COI")&gt;0,"COI",IF(COUNTIF(RPS[helper],RPI[[#This Row],[Strand]]&amp;"-Q-NCOI")&gt;0,"NCOI",""))),"")</f>
        <v>NCOI</v>
      </c>
      <c r="E39" s="26">
        <v>3</v>
      </c>
      <c r="F39" s="317" t="b">
        <f>VLOOKUP(RPI[[#This Row],[Strand]],indSelect_RP,7,FALSE)</f>
        <v>1</v>
      </c>
      <c r="G39" s="322" t="str">
        <f>IF(AND(career_stage="P",teacher_type="R",RPI[[#This Row],[CO]]="COI/NCOI",RPI[[#This Row],[Selected]]),VLOOKUP(RPI[[#This Row],[Strand]],coi_ncoi_select,COLUMNS(coi_ncoi_select),FALSE),RPI[[#This Row],[CO]])</f>
        <v>NCOI</v>
      </c>
      <c r="H39" s="323">
        <f>VLOOKUP(RPI[[#This Row],[Strand]],indSelect_RP,6,FALSE)</f>
        <v>0.02</v>
      </c>
      <c r="I39" s="320" t="str">
        <f>IFERROR(IF(AND(RPI[[#This Row],[Selected]],RPI[[#This Row],[CO]]="COI/NCOI"),VLOOKUP(RPI[[#This Row],[Strand]],indSelect_RP,9,FALSE),RPI[[#This Row],[CO]]),RPI[[#This Row],[CO]])</f>
        <v>NCOI</v>
      </c>
      <c r="J39" s="320" t="b">
        <f>IF(AND(required_cot&gt;=1,RPI[[#This Row],[Selected]]),VLOOKUP(RPI[[#This Row],[Strand]],indSelect_RP,10,FALSE)=1,FALSE)</f>
        <v>0</v>
      </c>
      <c r="K39" s="320" t="b">
        <f>IF(AND(required_cot&gt;=2,RPI[[#This Row],[Selected]]),VLOOKUP(RPI[[#This Row],[Strand]],indSelect_RP,11,FALSE)=1,FALSE)</f>
        <v>0</v>
      </c>
      <c r="L39" s="320" t="b">
        <f>IF(AND(required_cot&gt;=3,RPI[[#This Row],[Selected]]),VLOOKUP(RPI[[#This Row],[Strand]],indSelect_RP,12,FALSE)=1,FALSE)</f>
        <v>0</v>
      </c>
      <c r="M39" s="320" t="b">
        <f>IF(AND(required_cot&gt;=4,RPI[[#This Row],[Selected]]),VLOOKUP(RPI[[#This Row],[Strand]],indSelect_RP,13,FALSE)=1,FALSE)</f>
        <v>0</v>
      </c>
    </row>
    <row r="40" spans="1:13" x14ac:dyDescent="0.25">
      <c r="B40" s="6"/>
    </row>
  </sheetData>
  <sheetProtection algorithmName="SHA-512" hashValue="VaBUs0JMrRM28llzkGIEtHHfVEqKgIuwbA5y5XywU+3pGsQSx3tmIXY9cgqCQBVIpIgQFH+k9SwUZYzCT+N1GQ==" saltValue="0kLlU/LyztV2503zrdK6+w==" spinCount="100000" sheet="1" objects="1" scenarios="1" selectLockedCells="1" selectUnlockedCells="1"/>
  <pageMargins left="0.7" right="0.7" top="0.75" bottom="0.75" header="0.3" footer="0.3"/>
  <pageSetup orientation="portrait" r:id="rId1"/>
  <tableParts count="1">
    <tablePart r:id="rId2"/>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F88B7-858D-4FC2-9B38-81828CFBD7F6}">
  <sheetPr codeName="RPS_Sheet"/>
  <dimension ref="A1:J71"/>
  <sheetViews>
    <sheetView zoomScale="120" zoomScaleNormal="120" workbookViewId="0">
      <pane ySplit="1" topLeftCell="A57" activePane="bottomLeft" state="frozen"/>
      <selection activeCell="B6" sqref="B6"/>
      <selection pane="bottomLeft" activeCell="B6" sqref="B6"/>
    </sheetView>
  </sheetViews>
  <sheetFormatPr defaultColWidth="8.85546875" defaultRowHeight="15" x14ac:dyDescent="0.25"/>
  <cols>
    <col min="1" max="1" width="8.85546875" style="6" customWidth="1"/>
    <col min="2" max="2" width="6.85546875" style="6" customWidth="1"/>
    <col min="3" max="3" width="5.140625" style="6" customWidth="1"/>
    <col min="4" max="4" width="6.140625" style="6" customWidth="1"/>
    <col min="5" max="5" width="11.7109375" style="6" customWidth="1"/>
    <col min="6" max="10" width="31.85546875" style="4" customWidth="1"/>
    <col min="11" max="16384" width="8.85546875" style="4"/>
  </cols>
  <sheetData>
    <row r="1" spans="1:10" s="1" customFormat="1" x14ac:dyDescent="0.25">
      <c r="A1" s="20" t="s">
        <v>882</v>
      </c>
      <c r="B1" s="23" t="s">
        <v>884</v>
      </c>
      <c r="C1" s="23" t="s">
        <v>885</v>
      </c>
      <c r="D1" s="23" t="s">
        <v>1176</v>
      </c>
      <c r="E1" s="23" t="s">
        <v>1181</v>
      </c>
      <c r="F1" s="23" t="s">
        <v>773</v>
      </c>
      <c r="G1" s="23" t="s">
        <v>764</v>
      </c>
      <c r="H1" s="23" t="s">
        <v>751</v>
      </c>
      <c r="I1" s="23" t="s">
        <v>732</v>
      </c>
      <c r="J1" s="21" t="s">
        <v>714</v>
      </c>
    </row>
    <row r="2" spans="1:10" ht="60" x14ac:dyDescent="0.25">
      <c r="A2" s="22" t="s">
        <v>1272</v>
      </c>
      <c r="B2" s="13" t="s">
        <v>731</v>
      </c>
      <c r="C2" s="14">
        <v>3</v>
      </c>
      <c r="D2" s="14" t="s">
        <v>1012</v>
      </c>
      <c r="E2" s="14" t="str">
        <f>RPS[[#This Row],[Strand]]&amp;"-"&amp;RPS[[#This Row],[QET]]&amp;"-"&amp;RPS[[#This Row],[CO]]</f>
        <v>1.1.2-Q-COI</v>
      </c>
      <c r="F2" s="15" t="s">
        <v>1347</v>
      </c>
      <c r="G2" s="15" t="s">
        <v>1348</v>
      </c>
      <c r="H2" s="15" t="s">
        <v>1349</v>
      </c>
      <c r="I2" s="15" t="s">
        <v>1350</v>
      </c>
      <c r="J2" s="27" t="s">
        <v>1351</v>
      </c>
    </row>
    <row r="3" spans="1:10" ht="24" x14ac:dyDescent="0.25">
      <c r="A3" s="22" t="s">
        <v>1272</v>
      </c>
      <c r="B3" s="13" t="s">
        <v>731</v>
      </c>
      <c r="C3" s="14">
        <v>3</v>
      </c>
      <c r="D3" s="14" t="s">
        <v>1073</v>
      </c>
      <c r="E3" s="13" t="str">
        <f>RPS[[#This Row],[Strand]]&amp;"-"&amp;RPS[[#This Row],[QET]]&amp;"-"&amp;RPS[[#This Row],[CO]]</f>
        <v>1.1.2-E-COI</v>
      </c>
      <c r="F3" s="16" t="s">
        <v>1352</v>
      </c>
      <c r="G3" s="16"/>
      <c r="H3" s="16" t="s">
        <v>1353</v>
      </c>
      <c r="I3" s="16"/>
      <c r="J3" s="28" t="s">
        <v>1354</v>
      </c>
    </row>
    <row r="4" spans="1:10" ht="60" x14ac:dyDescent="0.25">
      <c r="A4" s="22" t="s">
        <v>1274</v>
      </c>
      <c r="B4" s="13" t="s">
        <v>750</v>
      </c>
      <c r="C4" s="13">
        <v>2</v>
      </c>
      <c r="D4" s="13" t="s">
        <v>1012</v>
      </c>
      <c r="E4" s="13" t="str">
        <f>RPS[[#This Row],[Strand]]&amp;"-"&amp;RPS[[#This Row],[QET]]&amp;"-"&amp;RPS[[#This Row],[CO]]</f>
        <v>1.2.2-Q-NCOI</v>
      </c>
      <c r="F4" s="16" t="s">
        <v>1355</v>
      </c>
      <c r="G4" s="16" t="s">
        <v>1356</v>
      </c>
      <c r="H4" s="16" t="s">
        <v>1357</v>
      </c>
      <c r="I4" s="16" t="s">
        <v>1358</v>
      </c>
      <c r="J4" s="28" t="s">
        <v>1354</v>
      </c>
    </row>
    <row r="5" spans="1:10" ht="72" x14ac:dyDescent="0.25">
      <c r="A5" s="22" t="s">
        <v>1276</v>
      </c>
      <c r="B5" s="13" t="s">
        <v>750</v>
      </c>
      <c r="C5" s="13"/>
      <c r="D5" s="13" t="s">
        <v>1012</v>
      </c>
      <c r="E5" s="13" t="str">
        <f>RPS[[#This Row],[Strand]]&amp;"-"&amp;RPS[[#This Row],[QET]]&amp;"-"&amp;RPS[[#This Row],[CO]]</f>
        <v>1.3.2-Q-NCOI</v>
      </c>
      <c r="F5" s="16" t="s">
        <v>1359</v>
      </c>
      <c r="G5" s="16" t="s">
        <v>1360</v>
      </c>
      <c r="H5" s="16" t="s">
        <v>1361</v>
      </c>
      <c r="I5" s="16" t="s">
        <v>1362</v>
      </c>
      <c r="J5" s="28" t="s">
        <v>1354</v>
      </c>
    </row>
    <row r="6" spans="1:10" ht="60" x14ac:dyDescent="0.25">
      <c r="A6" s="22" t="s">
        <v>1278</v>
      </c>
      <c r="B6" s="13" t="s">
        <v>731</v>
      </c>
      <c r="C6" s="13"/>
      <c r="D6" s="13" t="s">
        <v>1012</v>
      </c>
      <c r="E6" s="13" t="str">
        <f>RPS[[#This Row],[Strand]]&amp;"-"&amp;RPS[[#This Row],[QET]]&amp;"-"&amp;RPS[[#This Row],[CO]]</f>
        <v>1.4.2-Q-COI</v>
      </c>
      <c r="F6" s="16" t="s">
        <v>1363</v>
      </c>
      <c r="G6" s="16" t="s">
        <v>1364</v>
      </c>
      <c r="H6" s="16" t="s">
        <v>1365</v>
      </c>
      <c r="I6" s="16" t="s">
        <v>1366</v>
      </c>
      <c r="J6" s="28" t="s">
        <v>1367</v>
      </c>
    </row>
    <row r="7" spans="1:10" ht="24" x14ac:dyDescent="0.25">
      <c r="A7" s="22" t="s">
        <v>1278</v>
      </c>
      <c r="B7" s="13" t="s">
        <v>731</v>
      </c>
      <c r="C7" s="13"/>
      <c r="D7" s="13" t="s">
        <v>1073</v>
      </c>
      <c r="E7" s="13" t="str">
        <f>RPS[[#This Row],[Strand]]&amp;"-"&amp;RPS[[#This Row],[QET]]&amp;"-"&amp;RPS[[#This Row],[CO]]</f>
        <v>1.4.2-E-COI</v>
      </c>
      <c r="F7" s="16" t="s">
        <v>1352</v>
      </c>
      <c r="G7" s="16"/>
      <c r="H7" s="16" t="s">
        <v>1353</v>
      </c>
      <c r="I7" s="16"/>
      <c r="J7" s="28" t="s">
        <v>1354</v>
      </c>
    </row>
    <row r="8" spans="1:10" ht="60" x14ac:dyDescent="0.25">
      <c r="A8" s="22" t="s">
        <v>1280</v>
      </c>
      <c r="B8" s="13" t="s">
        <v>731</v>
      </c>
      <c r="C8" s="13"/>
      <c r="D8" s="13" t="s">
        <v>1012</v>
      </c>
      <c r="E8" s="13" t="str">
        <f>RPS[[#This Row],[Strand]]&amp;"-"&amp;RPS[[#This Row],[QET]]&amp;"-"&amp;RPS[[#This Row],[CO]]</f>
        <v>1.5.2-Q-COI</v>
      </c>
      <c r="F8" s="16" t="s">
        <v>1363</v>
      </c>
      <c r="G8" s="16" t="s">
        <v>1364</v>
      </c>
      <c r="H8" s="16" t="s">
        <v>1365</v>
      </c>
      <c r="I8" s="16" t="s">
        <v>1366</v>
      </c>
      <c r="J8" s="28" t="s">
        <v>1367</v>
      </c>
    </row>
    <row r="9" spans="1:10" ht="24" x14ac:dyDescent="0.25">
      <c r="A9" s="22" t="s">
        <v>1280</v>
      </c>
      <c r="B9" s="13" t="s">
        <v>731</v>
      </c>
      <c r="C9" s="13"/>
      <c r="D9" s="13" t="s">
        <v>1073</v>
      </c>
      <c r="E9" s="13" t="str">
        <f>RPS[[#This Row],[Strand]]&amp;"-"&amp;RPS[[#This Row],[QET]]&amp;"-"&amp;RPS[[#This Row],[CO]]</f>
        <v>1.5.2-E-COI</v>
      </c>
      <c r="F9" s="16" t="s">
        <v>1352</v>
      </c>
      <c r="G9" s="16"/>
      <c r="H9" s="16" t="s">
        <v>1353</v>
      </c>
      <c r="I9" s="16"/>
      <c r="J9" s="28" t="s">
        <v>1354</v>
      </c>
    </row>
    <row r="10" spans="1:10" ht="48" x14ac:dyDescent="0.25">
      <c r="A10" s="22" t="s">
        <v>1282</v>
      </c>
      <c r="B10" s="13" t="s">
        <v>731</v>
      </c>
      <c r="C10" s="13"/>
      <c r="D10" s="13" t="s">
        <v>1012</v>
      </c>
      <c r="E10" s="13" t="str">
        <f>RPS[[#This Row],[Strand]]&amp;"-"&amp;RPS[[#This Row],[QET]]&amp;"-"&amp;RPS[[#This Row],[CO]]</f>
        <v>1.6.2-Q-COI</v>
      </c>
      <c r="F10" s="15" t="s">
        <v>1368</v>
      </c>
      <c r="G10" s="15" t="s">
        <v>1369</v>
      </c>
      <c r="H10" s="15" t="s">
        <v>1370</v>
      </c>
      <c r="I10" s="15" t="s">
        <v>1371</v>
      </c>
      <c r="J10" s="27" t="s">
        <v>1372</v>
      </c>
    </row>
    <row r="11" spans="1:10" ht="24" x14ac:dyDescent="0.25">
      <c r="A11" s="22" t="s">
        <v>1282</v>
      </c>
      <c r="B11" s="13" t="s">
        <v>731</v>
      </c>
      <c r="C11" s="13"/>
      <c r="D11" s="13" t="s">
        <v>1073</v>
      </c>
      <c r="E11" s="13" t="str">
        <f>RPS[[#This Row],[Strand]]&amp;"-"&amp;RPS[[#This Row],[QET]]&amp;"-"&amp;RPS[[#This Row],[CO]]</f>
        <v>1.6.2-E-COI</v>
      </c>
      <c r="F11" s="16" t="s">
        <v>1352</v>
      </c>
      <c r="G11" s="16"/>
      <c r="H11" s="16" t="s">
        <v>1353</v>
      </c>
      <c r="I11" s="16"/>
      <c r="J11" s="28" t="s">
        <v>1354</v>
      </c>
    </row>
    <row r="12" spans="1:10" ht="48" x14ac:dyDescent="0.25">
      <c r="A12" s="22" t="s">
        <v>1284</v>
      </c>
      <c r="B12" s="13" t="s">
        <v>731</v>
      </c>
      <c r="C12" s="13"/>
      <c r="D12" s="13" t="s">
        <v>1012</v>
      </c>
      <c r="E12" s="13" t="str">
        <f>RPS[[#This Row],[Strand]]&amp;"-"&amp;RPS[[#This Row],[QET]]&amp;"-"&amp;RPS[[#This Row],[CO]]</f>
        <v>1.7.2-Q-COI</v>
      </c>
      <c r="F12" s="15" t="s">
        <v>1368</v>
      </c>
      <c r="G12" s="15" t="s">
        <v>1369</v>
      </c>
      <c r="H12" s="15" t="s">
        <v>1370</v>
      </c>
      <c r="I12" s="15" t="s">
        <v>1371</v>
      </c>
      <c r="J12" s="27" t="s">
        <v>1372</v>
      </c>
    </row>
    <row r="13" spans="1:10" ht="48" x14ac:dyDescent="0.25">
      <c r="A13" s="22" t="s">
        <v>1286</v>
      </c>
      <c r="B13" s="13" t="s">
        <v>731</v>
      </c>
      <c r="C13" s="13"/>
      <c r="D13" s="13" t="s">
        <v>1012</v>
      </c>
      <c r="E13" s="13" t="str">
        <f>RPS[[#This Row],[Strand]]&amp;"-"&amp;RPS[[#This Row],[QET]]&amp;"-"&amp;RPS[[#This Row],[CO]]</f>
        <v>2.1.2-Q-COI</v>
      </c>
      <c r="F13" s="15" t="s">
        <v>1368</v>
      </c>
      <c r="G13" s="15" t="s">
        <v>1369</v>
      </c>
      <c r="H13" s="15" t="s">
        <v>1370</v>
      </c>
      <c r="I13" s="15" t="s">
        <v>1371</v>
      </c>
      <c r="J13" s="27" t="s">
        <v>1372</v>
      </c>
    </row>
    <row r="14" spans="1:10" ht="24" x14ac:dyDescent="0.25">
      <c r="A14" s="22" t="s">
        <v>1286</v>
      </c>
      <c r="B14" s="13" t="s">
        <v>731</v>
      </c>
      <c r="C14" s="13"/>
      <c r="D14" s="13" t="s">
        <v>1073</v>
      </c>
      <c r="E14" s="13" t="str">
        <f>RPS[[#This Row],[Strand]]&amp;"-"&amp;RPS[[#This Row],[QET]]&amp;"-"&amp;RPS[[#This Row],[CO]]</f>
        <v>2.1.2-E-COI</v>
      </c>
      <c r="F14" s="16" t="s">
        <v>1352</v>
      </c>
      <c r="G14" s="16"/>
      <c r="H14" s="16" t="s">
        <v>1353</v>
      </c>
      <c r="I14" s="16"/>
      <c r="J14" s="28" t="s">
        <v>1354</v>
      </c>
    </row>
    <row r="15" spans="1:10" ht="48" x14ac:dyDescent="0.25">
      <c r="A15" s="22" t="s">
        <v>1288</v>
      </c>
      <c r="B15" s="13" t="s">
        <v>731</v>
      </c>
      <c r="C15" s="13"/>
      <c r="D15" s="13" t="s">
        <v>1012</v>
      </c>
      <c r="E15" s="13" t="str">
        <f>RPS[[#This Row],[Strand]]&amp;"-"&amp;RPS[[#This Row],[QET]]&amp;"-"&amp;RPS[[#This Row],[CO]]</f>
        <v>2.2.2-Q-COI</v>
      </c>
      <c r="F15" s="15" t="s">
        <v>1368</v>
      </c>
      <c r="G15" s="15" t="s">
        <v>1369</v>
      </c>
      <c r="H15" s="15" t="s">
        <v>1370</v>
      </c>
      <c r="I15" s="15" t="s">
        <v>1371</v>
      </c>
      <c r="J15" s="27" t="s">
        <v>1372</v>
      </c>
    </row>
    <row r="16" spans="1:10" ht="24" x14ac:dyDescent="0.25">
      <c r="A16" s="22" t="s">
        <v>1288</v>
      </c>
      <c r="B16" s="13" t="s">
        <v>731</v>
      </c>
      <c r="C16" s="13"/>
      <c r="D16" s="13" t="s">
        <v>1073</v>
      </c>
      <c r="E16" s="13" t="str">
        <f>RPS[[#This Row],[Strand]]&amp;"-"&amp;RPS[[#This Row],[QET]]&amp;"-"&amp;RPS[[#This Row],[CO]]</f>
        <v>2.2.2-E-COI</v>
      </c>
      <c r="F16" s="16" t="s">
        <v>1352</v>
      </c>
      <c r="G16" s="16"/>
      <c r="H16" s="16" t="s">
        <v>1353</v>
      </c>
      <c r="I16" s="16"/>
      <c r="J16" s="28" t="s">
        <v>1354</v>
      </c>
    </row>
    <row r="17" spans="1:10" ht="60" x14ac:dyDescent="0.25">
      <c r="A17" s="22" t="s">
        <v>1290</v>
      </c>
      <c r="B17" s="13" t="s">
        <v>731</v>
      </c>
      <c r="C17" s="13"/>
      <c r="D17" s="13" t="s">
        <v>1012</v>
      </c>
      <c r="E17" s="13" t="str">
        <f>RPS[[#This Row],[Strand]]&amp;"-"&amp;RPS[[#This Row],[QET]]&amp;"-"&amp;RPS[[#This Row],[CO]]</f>
        <v>2.3.2-Q-COI</v>
      </c>
      <c r="F17" s="16" t="s">
        <v>1363</v>
      </c>
      <c r="G17" s="16" t="s">
        <v>1364</v>
      </c>
      <c r="H17" s="16" t="s">
        <v>1365</v>
      </c>
      <c r="I17" s="16" t="s">
        <v>1366</v>
      </c>
      <c r="J17" s="28" t="s">
        <v>1367</v>
      </c>
    </row>
    <row r="18" spans="1:10" ht="24" x14ac:dyDescent="0.25">
      <c r="A18" s="22" t="s">
        <v>1290</v>
      </c>
      <c r="B18" s="13" t="s">
        <v>731</v>
      </c>
      <c r="C18" s="13"/>
      <c r="D18" s="13" t="s">
        <v>1073</v>
      </c>
      <c r="E18" s="13" t="str">
        <f>RPS[[#This Row],[Strand]]&amp;"-"&amp;RPS[[#This Row],[QET]]&amp;"-"&amp;RPS[[#This Row],[CO]]</f>
        <v>2.3.2-E-COI</v>
      </c>
      <c r="F18" s="16" t="s">
        <v>1352</v>
      </c>
      <c r="G18" s="16"/>
      <c r="H18" s="16" t="s">
        <v>1353</v>
      </c>
      <c r="I18" s="16"/>
      <c r="J18" s="28" t="s">
        <v>1354</v>
      </c>
    </row>
    <row r="19" spans="1:10" ht="84" x14ac:dyDescent="0.25">
      <c r="A19" s="22" t="s">
        <v>1292</v>
      </c>
      <c r="B19" s="13" t="s">
        <v>750</v>
      </c>
      <c r="C19" s="13"/>
      <c r="D19" s="13" t="s">
        <v>1012</v>
      </c>
      <c r="E19" s="13" t="str">
        <f>RPS[[#This Row],[Strand]]&amp;"-"&amp;RPS[[#This Row],[QET]]&amp;"-"&amp;RPS[[#This Row],[CO]]</f>
        <v>2.4.2-Q-NCOI</v>
      </c>
      <c r="F19" s="17" t="s">
        <v>1373</v>
      </c>
      <c r="G19" s="17" t="s">
        <v>1374</v>
      </c>
      <c r="H19" s="17" t="s">
        <v>1375</v>
      </c>
      <c r="I19" s="17" t="s">
        <v>1376</v>
      </c>
      <c r="J19" s="29" t="s">
        <v>1354</v>
      </c>
    </row>
    <row r="20" spans="1:10" ht="48" x14ac:dyDescent="0.25">
      <c r="A20" s="22" t="s">
        <v>1292</v>
      </c>
      <c r="B20" s="13" t="s">
        <v>731</v>
      </c>
      <c r="C20" s="13"/>
      <c r="D20" s="13" t="s">
        <v>1012</v>
      </c>
      <c r="E20" s="13" t="str">
        <f>RPS[[#This Row],[Strand]]&amp;"-"&amp;RPS[[#This Row],[QET]]&amp;"-"&amp;RPS[[#This Row],[CO]]</f>
        <v>2.4.2-Q-COI</v>
      </c>
      <c r="F20" s="15" t="s">
        <v>1368</v>
      </c>
      <c r="G20" s="15" t="s">
        <v>1369</v>
      </c>
      <c r="H20" s="15" t="s">
        <v>1370</v>
      </c>
      <c r="I20" s="15" t="s">
        <v>1371</v>
      </c>
      <c r="J20" s="27" t="s">
        <v>1372</v>
      </c>
    </row>
    <row r="21" spans="1:10" ht="96" x14ac:dyDescent="0.25">
      <c r="A21" s="22" t="s">
        <v>1294</v>
      </c>
      <c r="B21" s="13" t="s">
        <v>750</v>
      </c>
      <c r="C21" s="13"/>
      <c r="D21" s="13" t="s">
        <v>1012</v>
      </c>
      <c r="E21" s="13" t="str">
        <f>RPS[[#This Row],[Strand]]&amp;"-"&amp;RPS[[#This Row],[QET]]&amp;"-"&amp;RPS[[#This Row],[CO]]</f>
        <v>2.5.2-Q-NCOI</v>
      </c>
      <c r="F21" s="16" t="s">
        <v>1377</v>
      </c>
      <c r="G21" s="17" t="s">
        <v>1378</v>
      </c>
      <c r="H21" s="17" t="s">
        <v>1379</v>
      </c>
      <c r="I21" s="17" t="s">
        <v>1380</v>
      </c>
      <c r="J21" s="29" t="s">
        <v>1354</v>
      </c>
    </row>
    <row r="22" spans="1:10" ht="48" x14ac:dyDescent="0.25">
      <c r="A22" s="22" t="s">
        <v>1294</v>
      </c>
      <c r="B22" s="13" t="s">
        <v>731</v>
      </c>
      <c r="C22" s="13"/>
      <c r="D22" s="13" t="s">
        <v>1012</v>
      </c>
      <c r="E22" s="13" t="str">
        <f>RPS[[#This Row],[Strand]]&amp;"-"&amp;RPS[[#This Row],[QET]]&amp;"-"&amp;RPS[[#This Row],[CO]]</f>
        <v>2.5.2-Q-COI</v>
      </c>
      <c r="F22" s="15" t="s">
        <v>1368</v>
      </c>
      <c r="G22" s="15" t="s">
        <v>1369</v>
      </c>
      <c r="H22" s="15" t="s">
        <v>1370</v>
      </c>
      <c r="I22" s="15" t="s">
        <v>1371</v>
      </c>
      <c r="J22" s="27" t="s">
        <v>1372</v>
      </c>
    </row>
    <row r="23" spans="1:10" ht="60" x14ac:dyDescent="0.25">
      <c r="A23" s="22" t="s">
        <v>1296</v>
      </c>
      <c r="B23" s="13" t="s">
        <v>731</v>
      </c>
      <c r="C23" s="13"/>
      <c r="D23" s="13" t="s">
        <v>1012</v>
      </c>
      <c r="E23" s="13" t="str">
        <f>RPS[[#This Row],[Strand]]&amp;"-"&amp;RPS[[#This Row],[QET]]&amp;"-"&amp;RPS[[#This Row],[CO]]</f>
        <v>2.6.2-Q-COI</v>
      </c>
      <c r="F23" s="16" t="s">
        <v>1363</v>
      </c>
      <c r="G23" s="16" t="s">
        <v>1364</v>
      </c>
      <c r="H23" s="16" t="s">
        <v>1365</v>
      </c>
      <c r="I23" s="16" t="s">
        <v>1366</v>
      </c>
      <c r="J23" s="28" t="s">
        <v>1367</v>
      </c>
    </row>
    <row r="24" spans="1:10" ht="24" x14ac:dyDescent="0.25">
      <c r="A24" s="22" t="s">
        <v>1296</v>
      </c>
      <c r="B24" s="13" t="s">
        <v>731</v>
      </c>
      <c r="C24" s="13"/>
      <c r="D24" s="13" t="s">
        <v>1073</v>
      </c>
      <c r="E24" s="13" t="str">
        <f>RPS[[#This Row],[Strand]]&amp;"-"&amp;RPS[[#This Row],[QET]]&amp;"-"&amp;RPS[[#This Row],[CO]]</f>
        <v>2.6.2-E-COI</v>
      </c>
      <c r="F24" s="16" t="s">
        <v>1352</v>
      </c>
      <c r="G24" s="16"/>
      <c r="H24" s="16" t="s">
        <v>1353</v>
      </c>
      <c r="I24" s="16"/>
      <c r="J24" s="28" t="s">
        <v>1354</v>
      </c>
    </row>
    <row r="25" spans="1:10" ht="60" x14ac:dyDescent="0.25">
      <c r="A25" s="22" t="s">
        <v>1298</v>
      </c>
      <c r="B25" s="13" t="s">
        <v>731</v>
      </c>
      <c r="C25" s="13"/>
      <c r="D25" s="13" t="s">
        <v>1012</v>
      </c>
      <c r="E25" s="13" t="str">
        <f>RPS[[#This Row],[Strand]]&amp;"-"&amp;RPS[[#This Row],[QET]]&amp;"-"&amp;RPS[[#This Row],[CO]]</f>
        <v>3.1.2-Q-COI</v>
      </c>
      <c r="F25" s="16" t="s">
        <v>1363</v>
      </c>
      <c r="G25" s="16" t="s">
        <v>1364</v>
      </c>
      <c r="H25" s="16" t="s">
        <v>1365</v>
      </c>
      <c r="I25" s="16" t="s">
        <v>1366</v>
      </c>
      <c r="J25" s="28" t="s">
        <v>1367</v>
      </c>
    </row>
    <row r="26" spans="1:10" ht="24" x14ac:dyDescent="0.25">
      <c r="A26" s="22" t="s">
        <v>1298</v>
      </c>
      <c r="B26" s="13" t="s">
        <v>731</v>
      </c>
      <c r="C26" s="13"/>
      <c r="D26" s="13" t="s">
        <v>1073</v>
      </c>
      <c r="E26" s="13" t="str">
        <f>RPS[[#This Row],[Strand]]&amp;"-"&amp;RPS[[#This Row],[QET]]&amp;"-"&amp;RPS[[#This Row],[CO]]</f>
        <v>3.1.2-E-COI</v>
      </c>
      <c r="F26" s="16" t="s">
        <v>1352</v>
      </c>
      <c r="G26" s="16"/>
      <c r="H26" s="16" t="s">
        <v>1353</v>
      </c>
      <c r="I26" s="16"/>
      <c r="J26" s="28" t="s">
        <v>1354</v>
      </c>
    </row>
    <row r="27" spans="1:10" ht="48" x14ac:dyDescent="0.25">
      <c r="A27" s="22" t="s">
        <v>1300</v>
      </c>
      <c r="B27" s="13" t="s">
        <v>731</v>
      </c>
      <c r="C27" s="13"/>
      <c r="D27" s="13" t="s">
        <v>1012</v>
      </c>
      <c r="E27" s="13" t="str">
        <f>RPS[[#This Row],[Strand]]&amp;"-"&amp;RPS[[#This Row],[QET]]&amp;"-"&amp;RPS[[#This Row],[CO]]</f>
        <v>3.2.2-Q-COI</v>
      </c>
      <c r="F27" s="15" t="s">
        <v>1368</v>
      </c>
      <c r="G27" s="15" t="s">
        <v>1369</v>
      </c>
      <c r="H27" s="15" t="s">
        <v>1370</v>
      </c>
      <c r="I27" s="15" t="s">
        <v>1371</v>
      </c>
      <c r="J27" s="27" t="s">
        <v>1372</v>
      </c>
    </row>
    <row r="28" spans="1:10" ht="24" x14ac:dyDescent="0.25">
      <c r="A28" s="22" t="s">
        <v>1300</v>
      </c>
      <c r="B28" s="13" t="s">
        <v>731</v>
      </c>
      <c r="C28" s="13"/>
      <c r="D28" s="13" t="s">
        <v>1073</v>
      </c>
      <c r="E28" s="13" t="str">
        <f>RPS[[#This Row],[Strand]]&amp;"-"&amp;RPS[[#This Row],[QET]]&amp;"-"&amp;RPS[[#This Row],[CO]]</f>
        <v>3.2.2-E-COI</v>
      </c>
      <c r="F28" s="16" t="s">
        <v>1352</v>
      </c>
      <c r="G28" s="16"/>
      <c r="H28" s="16" t="s">
        <v>1353</v>
      </c>
      <c r="I28" s="16"/>
      <c r="J28" s="28" t="s">
        <v>1354</v>
      </c>
    </row>
    <row r="29" spans="1:10" ht="48" x14ac:dyDescent="0.25">
      <c r="A29" s="22" t="s">
        <v>1302</v>
      </c>
      <c r="B29" s="13" t="s">
        <v>731</v>
      </c>
      <c r="C29" s="13"/>
      <c r="D29" s="13" t="s">
        <v>1012</v>
      </c>
      <c r="E29" s="13" t="str">
        <f>RPS[[#This Row],[Strand]]&amp;"-"&amp;RPS[[#This Row],[QET]]&amp;"-"&amp;RPS[[#This Row],[CO]]</f>
        <v>3.3.2-Q-COI</v>
      </c>
      <c r="F29" s="15" t="s">
        <v>1368</v>
      </c>
      <c r="G29" s="15" t="s">
        <v>1369</v>
      </c>
      <c r="H29" s="15" t="s">
        <v>1370</v>
      </c>
      <c r="I29" s="15" t="s">
        <v>1371</v>
      </c>
      <c r="J29" s="27" t="s">
        <v>1372</v>
      </c>
    </row>
    <row r="30" spans="1:10" ht="36" x14ac:dyDescent="0.25">
      <c r="A30" s="22" t="s">
        <v>1302</v>
      </c>
      <c r="B30" s="13" t="s">
        <v>750</v>
      </c>
      <c r="C30" s="13"/>
      <c r="D30" s="13" t="s">
        <v>1012</v>
      </c>
      <c r="E30" s="13" t="str">
        <f>RPS[[#This Row],[Strand]]&amp;"-"&amp;RPS[[#This Row],[QET]]&amp;"-"&amp;RPS[[#This Row],[CO]]</f>
        <v>3.3.2-Q-NCOI</v>
      </c>
      <c r="F30" s="16" t="s">
        <v>1381</v>
      </c>
      <c r="G30" s="16" t="s">
        <v>1382</v>
      </c>
      <c r="H30" s="16" t="s">
        <v>1383</v>
      </c>
      <c r="I30" s="16" t="s">
        <v>1384</v>
      </c>
      <c r="J30" s="28" t="s">
        <v>1385</v>
      </c>
    </row>
    <row r="31" spans="1:10" ht="48" x14ac:dyDescent="0.25">
      <c r="A31" s="22" t="s">
        <v>1304</v>
      </c>
      <c r="B31" s="13" t="s">
        <v>731</v>
      </c>
      <c r="C31" s="13"/>
      <c r="D31" s="13" t="s">
        <v>1012</v>
      </c>
      <c r="E31" s="13" t="str">
        <f>RPS[[#This Row],[Strand]]&amp;"-"&amp;RPS[[#This Row],[QET]]&amp;"-"&amp;RPS[[#This Row],[CO]]</f>
        <v>3.4.2-Q-COI</v>
      </c>
      <c r="F31" s="15" t="s">
        <v>1368</v>
      </c>
      <c r="G31" s="15" t="s">
        <v>1369</v>
      </c>
      <c r="H31" s="15" t="s">
        <v>1370</v>
      </c>
      <c r="I31" s="15" t="s">
        <v>1371</v>
      </c>
      <c r="J31" s="27" t="s">
        <v>1372</v>
      </c>
    </row>
    <row r="32" spans="1:10" ht="60" x14ac:dyDescent="0.25">
      <c r="A32" s="22" t="s">
        <v>1306</v>
      </c>
      <c r="B32" s="13" t="s">
        <v>731</v>
      </c>
      <c r="C32" s="13"/>
      <c r="D32" s="13" t="s">
        <v>1012</v>
      </c>
      <c r="E32" s="13" t="str">
        <f>RPS[[#This Row],[Strand]]&amp;"-"&amp;RPS[[#This Row],[QET]]&amp;"-"&amp;RPS[[#This Row],[CO]]</f>
        <v>3.5.2-Q-COI</v>
      </c>
      <c r="F32" s="15" t="s">
        <v>1386</v>
      </c>
      <c r="G32" s="15" t="s">
        <v>1387</v>
      </c>
      <c r="H32" s="15" t="s">
        <v>1388</v>
      </c>
      <c r="I32" s="15" t="s">
        <v>1389</v>
      </c>
      <c r="J32" s="27" t="s">
        <v>1390</v>
      </c>
    </row>
    <row r="33" spans="1:10" ht="24" x14ac:dyDescent="0.25">
      <c r="A33" s="22" t="s">
        <v>1306</v>
      </c>
      <c r="B33" s="13" t="s">
        <v>731</v>
      </c>
      <c r="C33" s="13"/>
      <c r="D33" s="13" t="s">
        <v>1073</v>
      </c>
      <c r="E33" s="13" t="str">
        <f>RPS[[#This Row],[Strand]]&amp;"-"&amp;RPS[[#This Row],[QET]]&amp;"-"&amp;RPS[[#This Row],[CO]]</f>
        <v>3.5.2-E-COI</v>
      </c>
      <c r="F33" s="16" t="s">
        <v>1352</v>
      </c>
      <c r="G33" s="16"/>
      <c r="H33" s="16" t="s">
        <v>1353</v>
      </c>
      <c r="I33" s="16"/>
      <c r="J33" s="28" t="s">
        <v>1354</v>
      </c>
    </row>
    <row r="34" spans="1:10" ht="60" x14ac:dyDescent="0.25">
      <c r="A34" s="22" t="s">
        <v>1308</v>
      </c>
      <c r="B34" s="13" t="s">
        <v>731</v>
      </c>
      <c r="C34" s="13"/>
      <c r="D34" s="13" t="s">
        <v>1012</v>
      </c>
      <c r="E34" s="13" t="str">
        <f>RPS[[#This Row],[Strand]]&amp;"-"&amp;RPS[[#This Row],[QET]]&amp;"-"&amp;RPS[[#This Row],[CO]]</f>
        <v>4.1.2-Q-COI</v>
      </c>
      <c r="F34" s="16" t="s">
        <v>1363</v>
      </c>
      <c r="G34" s="16" t="s">
        <v>1364</v>
      </c>
      <c r="H34" s="16" t="s">
        <v>1365</v>
      </c>
      <c r="I34" s="16" t="s">
        <v>1366</v>
      </c>
      <c r="J34" s="28" t="s">
        <v>1367</v>
      </c>
    </row>
    <row r="35" spans="1:10" ht="24" x14ac:dyDescent="0.25">
      <c r="A35" s="22" t="s">
        <v>1308</v>
      </c>
      <c r="B35" s="13" t="s">
        <v>731</v>
      </c>
      <c r="C35" s="13"/>
      <c r="D35" s="13" t="s">
        <v>1073</v>
      </c>
      <c r="E35" s="13" t="str">
        <f>RPS[[#This Row],[Strand]]&amp;"-"&amp;RPS[[#This Row],[QET]]&amp;"-"&amp;RPS[[#This Row],[CO]]</f>
        <v>4.1.2-E-COI</v>
      </c>
      <c r="F35" s="16" t="s">
        <v>1352</v>
      </c>
      <c r="G35" s="16"/>
      <c r="H35" s="16" t="s">
        <v>1353</v>
      </c>
      <c r="I35" s="16"/>
      <c r="J35" s="28" t="s">
        <v>1354</v>
      </c>
    </row>
    <row r="36" spans="1:10" ht="60" x14ac:dyDescent="0.25">
      <c r="A36" s="22" t="s">
        <v>1310</v>
      </c>
      <c r="B36" s="13" t="s">
        <v>750</v>
      </c>
      <c r="C36" s="13"/>
      <c r="D36" s="13" t="s">
        <v>1012</v>
      </c>
      <c r="E36" s="13" t="str">
        <f>RPS[[#This Row],[Strand]]&amp;"-"&amp;RPS[[#This Row],[QET]]&amp;"-"&amp;RPS[[#This Row],[CO]]</f>
        <v>4.2.2-Q-NCOI</v>
      </c>
      <c r="F36" s="16" t="s">
        <v>1391</v>
      </c>
      <c r="G36" s="16" t="s">
        <v>1392</v>
      </c>
      <c r="H36" s="16" t="s">
        <v>1393</v>
      </c>
      <c r="I36" s="16" t="s">
        <v>1394</v>
      </c>
      <c r="J36" s="28" t="s">
        <v>1354</v>
      </c>
    </row>
    <row r="37" spans="1:10" ht="48" x14ac:dyDescent="0.25">
      <c r="A37" s="22" t="s">
        <v>1310</v>
      </c>
      <c r="B37" s="13" t="s">
        <v>750</v>
      </c>
      <c r="C37" s="13"/>
      <c r="D37" s="13" t="s">
        <v>1073</v>
      </c>
      <c r="E37" s="13" t="str">
        <f>RPS[[#This Row],[Strand]]&amp;"-"&amp;RPS[[#This Row],[QET]]&amp;"-"&amp;RPS[[#This Row],[CO]]</f>
        <v>4.2.2-E-NCOI</v>
      </c>
      <c r="F37" s="16" t="s">
        <v>1395</v>
      </c>
      <c r="G37" s="16" t="s">
        <v>1396</v>
      </c>
      <c r="H37" s="16" t="s">
        <v>1397</v>
      </c>
      <c r="I37" s="16" t="s">
        <v>1398</v>
      </c>
      <c r="J37" s="28" t="s">
        <v>1354</v>
      </c>
    </row>
    <row r="38" spans="1:10" ht="48" x14ac:dyDescent="0.25">
      <c r="A38" s="22" t="s">
        <v>1312</v>
      </c>
      <c r="B38" s="13" t="s">
        <v>750</v>
      </c>
      <c r="C38" s="13"/>
      <c r="D38" s="13" t="s">
        <v>1012</v>
      </c>
      <c r="E38" s="13" t="str">
        <f>RPS[[#This Row],[Strand]]&amp;"-"&amp;RPS[[#This Row],[QET]]&amp;"-"&amp;RPS[[#This Row],[CO]]</f>
        <v>4.3.2-Q-NCOI</v>
      </c>
      <c r="F38" s="16" t="s">
        <v>1399</v>
      </c>
      <c r="G38" s="16" t="s">
        <v>1400</v>
      </c>
      <c r="H38" s="16" t="s">
        <v>1401</v>
      </c>
      <c r="I38" s="16" t="s">
        <v>1402</v>
      </c>
      <c r="J38" s="30" t="s">
        <v>1354</v>
      </c>
    </row>
    <row r="39" spans="1:10" ht="60" x14ac:dyDescent="0.25">
      <c r="A39" s="22" t="s">
        <v>1314</v>
      </c>
      <c r="B39" s="13" t="s">
        <v>750</v>
      </c>
      <c r="C39" s="13"/>
      <c r="D39" s="13" t="s">
        <v>1012</v>
      </c>
      <c r="E39" s="13" t="str">
        <f>RPS[[#This Row],[Strand]]&amp;"-"&amp;RPS[[#This Row],[QET]]&amp;"-"&amp;RPS[[#This Row],[CO]]</f>
        <v>4.4.2-Q-NCOI</v>
      </c>
      <c r="F39" s="16" t="s">
        <v>1403</v>
      </c>
      <c r="G39" s="16" t="s">
        <v>1404</v>
      </c>
      <c r="H39" s="16" t="s">
        <v>1405</v>
      </c>
      <c r="I39" s="16" t="s">
        <v>1406</v>
      </c>
      <c r="J39" s="28" t="s">
        <v>1354</v>
      </c>
    </row>
    <row r="40" spans="1:10" ht="36" x14ac:dyDescent="0.25">
      <c r="A40" s="22" t="s">
        <v>1314</v>
      </c>
      <c r="B40" s="13" t="s">
        <v>750</v>
      </c>
      <c r="C40" s="13"/>
      <c r="D40" s="13" t="s">
        <v>1014</v>
      </c>
      <c r="E40" s="13" t="str">
        <f>RPS[[#This Row],[Strand]]&amp;"-"&amp;RPS[[#This Row],[QET]]&amp;"-"&amp;RPS[[#This Row],[CO]]</f>
        <v>4.4.2-T-NCOI</v>
      </c>
      <c r="F40" s="16" t="s">
        <v>1407</v>
      </c>
      <c r="G40" s="16" t="s">
        <v>1408</v>
      </c>
      <c r="H40" s="16" t="s">
        <v>1409</v>
      </c>
      <c r="I40" s="16" t="s">
        <v>1410</v>
      </c>
      <c r="J40" s="28" t="s">
        <v>1354</v>
      </c>
    </row>
    <row r="41" spans="1:10" ht="60" x14ac:dyDescent="0.25">
      <c r="A41" s="22" t="s">
        <v>1316</v>
      </c>
      <c r="B41" s="13" t="s">
        <v>731</v>
      </c>
      <c r="C41" s="13"/>
      <c r="D41" s="13" t="s">
        <v>1012</v>
      </c>
      <c r="E41" s="13" t="str">
        <f>RPS[[#This Row],[Strand]]&amp;"-"&amp;RPS[[#This Row],[QET]]&amp;"-"&amp;RPS[[#This Row],[CO]]</f>
        <v>4.5.2-Q-COI</v>
      </c>
      <c r="F41" s="15" t="s">
        <v>1363</v>
      </c>
      <c r="G41" s="15" t="s">
        <v>1364</v>
      </c>
      <c r="H41" s="15" t="s">
        <v>1365</v>
      </c>
      <c r="I41" s="15" t="s">
        <v>1366</v>
      </c>
      <c r="J41" s="27" t="s">
        <v>1367</v>
      </c>
    </row>
    <row r="42" spans="1:10" ht="24" x14ac:dyDescent="0.25">
      <c r="A42" s="22" t="s">
        <v>1316</v>
      </c>
      <c r="B42" s="13" t="s">
        <v>731</v>
      </c>
      <c r="C42" s="13"/>
      <c r="D42" s="13" t="s">
        <v>1073</v>
      </c>
      <c r="E42" s="13" t="str">
        <f>RPS[[#This Row],[Strand]]&amp;"-"&amp;RPS[[#This Row],[QET]]&amp;"-"&amp;RPS[[#This Row],[CO]]</f>
        <v>4.5.2-E-COI</v>
      </c>
      <c r="F42" s="16" t="s">
        <v>1352</v>
      </c>
      <c r="G42" s="16"/>
      <c r="H42" s="16" t="s">
        <v>1353</v>
      </c>
      <c r="I42" s="16"/>
      <c r="J42" s="28" t="s">
        <v>1354</v>
      </c>
    </row>
    <row r="43" spans="1:10" ht="60" x14ac:dyDescent="0.25">
      <c r="A43" s="22" t="s">
        <v>1318</v>
      </c>
      <c r="B43" s="13" t="s">
        <v>731</v>
      </c>
      <c r="C43" s="13"/>
      <c r="D43" s="13" t="s">
        <v>1012</v>
      </c>
      <c r="E43" s="13" t="str">
        <f>RPS[[#This Row],[Strand]]&amp;"-"&amp;RPS[[#This Row],[QET]]&amp;"-"&amp;RPS[[#This Row],[CO]]</f>
        <v>5.1.2-Q-COI</v>
      </c>
      <c r="F43" s="16" t="s">
        <v>1363</v>
      </c>
      <c r="G43" s="16" t="s">
        <v>1364</v>
      </c>
      <c r="H43" s="16" t="s">
        <v>1365</v>
      </c>
      <c r="I43" s="16" t="s">
        <v>1366</v>
      </c>
      <c r="J43" s="28" t="s">
        <v>1367</v>
      </c>
    </row>
    <row r="44" spans="1:10" ht="24" x14ac:dyDescent="0.25">
      <c r="A44" s="22" t="s">
        <v>1318</v>
      </c>
      <c r="B44" s="13" t="s">
        <v>731</v>
      </c>
      <c r="C44" s="13"/>
      <c r="D44" s="13" t="s">
        <v>1073</v>
      </c>
      <c r="E44" s="13" t="str">
        <f>RPS[[#This Row],[Strand]]&amp;"-"&amp;RPS[[#This Row],[QET]]&amp;"-"&amp;RPS[[#This Row],[CO]]</f>
        <v>5.1.2-E-COI</v>
      </c>
      <c r="F44" s="16" t="s">
        <v>1352</v>
      </c>
      <c r="G44" s="16"/>
      <c r="H44" s="16" t="s">
        <v>1353</v>
      </c>
      <c r="I44" s="16"/>
      <c r="J44" s="28" t="s">
        <v>1354</v>
      </c>
    </row>
    <row r="45" spans="1:10" ht="48" x14ac:dyDescent="0.25">
      <c r="A45" s="22" t="s">
        <v>1320</v>
      </c>
      <c r="B45" s="13" t="s">
        <v>750</v>
      </c>
      <c r="C45" s="13"/>
      <c r="D45" s="13" t="s">
        <v>1012</v>
      </c>
      <c r="E45" s="13" t="str">
        <f>RPS[[#This Row],[Strand]]&amp;"-"&amp;RPS[[#This Row],[QET]]&amp;"-"&amp;RPS[[#This Row],[CO]]</f>
        <v>5.2.2-Q-NCOI</v>
      </c>
      <c r="F45" s="16" t="s">
        <v>1411</v>
      </c>
      <c r="G45" s="16" t="s">
        <v>1412</v>
      </c>
      <c r="H45" s="16" t="s">
        <v>1413</v>
      </c>
      <c r="I45" s="16" t="s">
        <v>1414</v>
      </c>
      <c r="J45" s="28" t="s">
        <v>1354</v>
      </c>
    </row>
    <row r="46" spans="1:10" ht="30" x14ac:dyDescent="0.25">
      <c r="A46" s="22" t="s">
        <v>1320</v>
      </c>
      <c r="B46" s="13" t="s">
        <v>750</v>
      </c>
      <c r="C46" s="13"/>
      <c r="D46" s="13" t="s">
        <v>1014</v>
      </c>
      <c r="E46" s="13" t="str">
        <f>RPS[[#This Row],[Strand]]&amp;"-"&amp;RPS[[#This Row],[QET]]&amp;"-"&amp;RPS[[#This Row],[CO]]</f>
        <v>5.2.2-T-NCOI</v>
      </c>
      <c r="F46" s="16" t="s">
        <v>1415</v>
      </c>
      <c r="G46" s="16" t="s">
        <v>1416</v>
      </c>
      <c r="H46" s="16" t="s">
        <v>1417</v>
      </c>
      <c r="I46" s="16" t="s">
        <v>1418</v>
      </c>
      <c r="J46" s="28" t="s">
        <v>1354</v>
      </c>
    </row>
    <row r="47" spans="1:10" ht="60" x14ac:dyDescent="0.25">
      <c r="A47" s="22" t="s">
        <v>1322</v>
      </c>
      <c r="B47" s="13" t="s">
        <v>731</v>
      </c>
      <c r="C47" s="13"/>
      <c r="D47" s="13" t="s">
        <v>1012</v>
      </c>
      <c r="E47" s="13" t="str">
        <f>RPS[[#This Row],[Strand]]&amp;"-"&amp;RPS[[#This Row],[QET]]&amp;"-"&amp;RPS[[#This Row],[CO]]</f>
        <v>5.3.2-Q-COI</v>
      </c>
      <c r="F47" s="16" t="s">
        <v>1363</v>
      </c>
      <c r="G47" s="16" t="s">
        <v>1364</v>
      </c>
      <c r="H47" s="16" t="s">
        <v>1365</v>
      </c>
      <c r="I47" s="16" t="s">
        <v>1366</v>
      </c>
      <c r="J47" s="28" t="s">
        <v>1367</v>
      </c>
    </row>
    <row r="48" spans="1:10" ht="24" x14ac:dyDescent="0.25">
      <c r="A48" s="22" t="s">
        <v>1322</v>
      </c>
      <c r="B48" s="13" t="s">
        <v>731</v>
      </c>
      <c r="C48" s="13"/>
      <c r="D48" s="13" t="s">
        <v>1073</v>
      </c>
      <c r="E48" s="13" t="str">
        <f>RPS[[#This Row],[Strand]]&amp;"-"&amp;RPS[[#This Row],[QET]]&amp;"-"&amp;RPS[[#This Row],[CO]]</f>
        <v>5.3.2-E-COI</v>
      </c>
      <c r="F48" s="16" t="s">
        <v>1352</v>
      </c>
      <c r="G48" s="16"/>
      <c r="H48" s="16" t="s">
        <v>1353</v>
      </c>
      <c r="I48" s="16"/>
      <c r="J48" s="28" t="s">
        <v>1354</v>
      </c>
    </row>
    <row r="49" spans="1:10" ht="72" x14ac:dyDescent="0.25">
      <c r="A49" s="22" t="s">
        <v>1324</v>
      </c>
      <c r="B49" s="13" t="s">
        <v>750</v>
      </c>
      <c r="C49" s="13"/>
      <c r="D49" s="13" t="s">
        <v>1012</v>
      </c>
      <c r="E49" s="13" t="str">
        <f>RPS[[#This Row],[Strand]]&amp;"-"&amp;RPS[[#This Row],[QET]]&amp;"-"&amp;RPS[[#This Row],[CO]]</f>
        <v>5.4.2-Q-NCOI</v>
      </c>
      <c r="F49" s="16" t="s">
        <v>1419</v>
      </c>
      <c r="G49" s="16" t="s">
        <v>1420</v>
      </c>
      <c r="H49" s="16" t="s">
        <v>1421</v>
      </c>
      <c r="I49" s="16" t="s">
        <v>1422</v>
      </c>
      <c r="J49" s="28" t="s">
        <v>1354</v>
      </c>
    </row>
    <row r="50" spans="1:10" ht="36" x14ac:dyDescent="0.25">
      <c r="A50" s="22" t="s">
        <v>1324</v>
      </c>
      <c r="B50" s="13" t="s">
        <v>750</v>
      </c>
      <c r="C50" s="13"/>
      <c r="D50" s="13" t="s">
        <v>1014</v>
      </c>
      <c r="E50" s="13" t="str">
        <f>RPS[[#This Row],[Strand]]&amp;"-"&amp;RPS[[#This Row],[QET]]&amp;"-"&amp;RPS[[#This Row],[CO]]</f>
        <v>5.4.2-T-NCOI</v>
      </c>
      <c r="F50" s="16" t="s">
        <v>1423</v>
      </c>
      <c r="G50" s="16" t="s">
        <v>1424</v>
      </c>
      <c r="H50" s="16" t="s">
        <v>1425</v>
      </c>
      <c r="I50" s="16" t="s">
        <v>1426</v>
      </c>
      <c r="J50" s="28" t="s">
        <v>1354</v>
      </c>
    </row>
    <row r="51" spans="1:10" ht="72" x14ac:dyDescent="0.25">
      <c r="A51" s="22" t="s">
        <v>1326</v>
      </c>
      <c r="B51" s="13" t="s">
        <v>750</v>
      </c>
      <c r="C51" s="13"/>
      <c r="D51" s="13" t="s">
        <v>1012</v>
      </c>
      <c r="E51" s="13" t="str">
        <f>RPS[[#This Row],[Strand]]&amp;"-"&amp;RPS[[#This Row],[QET]]&amp;"-"&amp;RPS[[#This Row],[CO]]</f>
        <v>5.5.2-Q-NCOI</v>
      </c>
      <c r="F51" s="17" t="s">
        <v>1427</v>
      </c>
      <c r="G51" s="17" t="s">
        <v>1428</v>
      </c>
      <c r="H51" s="17" t="s">
        <v>1429</v>
      </c>
      <c r="I51" s="17" t="s">
        <v>1430</v>
      </c>
      <c r="J51" s="29" t="s">
        <v>1354</v>
      </c>
    </row>
    <row r="52" spans="1:10" ht="30" x14ac:dyDescent="0.25">
      <c r="A52" s="22" t="s">
        <v>1326</v>
      </c>
      <c r="B52" s="13" t="s">
        <v>750</v>
      </c>
      <c r="C52" s="13"/>
      <c r="D52" s="13" t="s">
        <v>1014</v>
      </c>
      <c r="E52" s="13" t="str">
        <f>RPS[[#This Row],[Strand]]&amp;"-"&amp;RPS[[#This Row],[QET]]&amp;"-"&amp;RPS[[#This Row],[CO]]</f>
        <v>5.5.2-T-NCOI</v>
      </c>
      <c r="F52" s="16" t="s">
        <v>1431</v>
      </c>
      <c r="G52" s="16" t="s">
        <v>1432</v>
      </c>
      <c r="H52" s="16" t="s">
        <v>1433</v>
      </c>
      <c r="I52" s="16" t="s">
        <v>1434</v>
      </c>
      <c r="J52" s="29" t="s">
        <v>1354</v>
      </c>
    </row>
    <row r="53" spans="1:10" ht="84" x14ac:dyDescent="0.25">
      <c r="A53" s="22" t="s">
        <v>1328</v>
      </c>
      <c r="B53" s="13" t="s">
        <v>750</v>
      </c>
      <c r="C53" s="13"/>
      <c r="D53" s="13" t="s">
        <v>1012</v>
      </c>
      <c r="E53" s="13" t="str">
        <f>RPS[[#This Row],[Strand]]&amp;"-"&amp;RPS[[#This Row],[QET]]&amp;"-"&amp;RPS[[#This Row],[CO]]</f>
        <v>6.1.2-Q-NCOI</v>
      </c>
      <c r="F53" s="16" t="s">
        <v>1435</v>
      </c>
      <c r="G53" s="16" t="s">
        <v>1436</v>
      </c>
      <c r="H53" s="16" t="s">
        <v>1437</v>
      </c>
      <c r="I53" s="16" t="s">
        <v>1438</v>
      </c>
      <c r="J53" s="30" t="s">
        <v>1354</v>
      </c>
    </row>
    <row r="54" spans="1:10" ht="72" x14ac:dyDescent="0.25">
      <c r="A54" s="22" t="s">
        <v>1330</v>
      </c>
      <c r="B54" s="13" t="s">
        <v>750</v>
      </c>
      <c r="C54" s="13"/>
      <c r="D54" s="13" t="s">
        <v>1012</v>
      </c>
      <c r="E54" s="13" t="str">
        <f>RPS[[#This Row],[Strand]]&amp;"-"&amp;RPS[[#This Row],[QET]]&amp;"-"&amp;RPS[[#This Row],[CO]]</f>
        <v>6.2.2-Q-NCOI</v>
      </c>
      <c r="F54" s="16" t="s">
        <v>1439</v>
      </c>
      <c r="G54" s="16" t="s">
        <v>1440</v>
      </c>
      <c r="H54" s="16" t="s">
        <v>1441</v>
      </c>
      <c r="I54" s="16" t="s">
        <v>1442</v>
      </c>
      <c r="J54" s="28" t="s">
        <v>1354</v>
      </c>
    </row>
    <row r="55" spans="1:10" ht="36" x14ac:dyDescent="0.25">
      <c r="A55" s="22" t="s">
        <v>1330</v>
      </c>
      <c r="B55" s="13" t="s">
        <v>750</v>
      </c>
      <c r="C55" s="13"/>
      <c r="D55" s="13" t="s">
        <v>1014</v>
      </c>
      <c r="E55" s="13" t="str">
        <f>RPS[[#This Row],[Strand]]&amp;"-"&amp;RPS[[#This Row],[QET]]&amp;"-"&amp;RPS[[#This Row],[CO]]</f>
        <v>6.2.2-T-NCOI</v>
      </c>
      <c r="F55" s="16" t="s">
        <v>1443</v>
      </c>
      <c r="G55" s="16" t="s">
        <v>1444</v>
      </c>
      <c r="H55" s="16" t="s">
        <v>1445</v>
      </c>
      <c r="I55" s="16" t="s">
        <v>1446</v>
      </c>
      <c r="J55" s="28" t="s">
        <v>1354</v>
      </c>
    </row>
    <row r="56" spans="1:10" ht="96" x14ac:dyDescent="0.25">
      <c r="A56" s="22" t="s">
        <v>1332</v>
      </c>
      <c r="B56" s="13" t="s">
        <v>750</v>
      </c>
      <c r="C56" s="13"/>
      <c r="D56" s="13" t="s">
        <v>1012</v>
      </c>
      <c r="E56" s="13" t="str">
        <f>RPS[[#This Row],[Strand]]&amp;"-"&amp;RPS[[#This Row],[QET]]&amp;"-"&amp;RPS[[#This Row],[CO]]</f>
        <v>6.3.2-Q-NCOI</v>
      </c>
      <c r="F56" s="16" t="s">
        <v>1447</v>
      </c>
      <c r="G56" s="16" t="s">
        <v>1448</v>
      </c>
      <c r="H56" s="16" t="s">
        <v>1449</v>
      </c>
      <c r="I56" s="16" t="s">
        <v>1450</v>
      </c>
      <c r="J56" s="30" t="s">
        <v>1354</v>
      </c>
    </row>
    <row r="57" spans="1:10" ht="84" x14ac:dyDescent="0.25">
      <c r="A57" s="22" t="s">
        <v>1334</v>
      </c>
      <c r="B57" s="13" t="s">
        <v>750</v>
      </c>
      <c r="C57" s="13"/>
      <c r="D57" s="13" t="s">
        <v>1012</v>
      </c>
      <c r="E57" s="13" t="str">
        <f>RPS[[#This Row],[Strand]]&amp;"-"&amp;RPS[[#This Row],[QET]]&amp;"-"&amp;RPS[[#This Row],[CO]]</f>
        <v>6.4.2-Q-NCOI</v>
      </c>
      <c r="F57" s="16" t="s">
        <v>1451</v>
      </c>
      <c r="G57" s="16" t="s">
        <v>1452</v>
      </c>
      <c r="H57" s="16" t="s">
        <v>1453</v>
      </c>
      <c r="I57" s="16" t="s">
        <v>1454</v>
      </c>
      <c r="J57" s="30" t="s">
        <v>1354</v>
      </c>
    </row>
    <row r="58" spans="1:10" ht="72" x14ac:dyDescent="0.25">
      <c r="A58" s="22" t="s">
        <v>1336</v>
      </c>
      <c r="B58" s="13" t="s">
        <v>750</v>
      </c>
      <c r="C58" s="13"/>
      <c r="D58" s="13" t="s">
        <v>1012</v>
      </c>
      <c r="E58" s="13" t="str">
        <f>RPS[[#This Row],[Strand]]&amp;"-"&amp;RPS[[#This Row],[QET]]&amp;"-"&amp;RPS[[#This Row],[CO]]</f>
        <v>7.1.2-Q-NCOI</v>
      </c>
      <c r="F58" s="16" t="s">
        <v>1455</v>
      </c>
      <c r="G58" s="16" t="s">
        <v>1456</v>
      </c>
      <c r="H58" s="16" t="s">
        <v>1457</v>
      </c>
      <c r="I58" s="16" t="s">
        <v>1458</v>
      </c>
      <c r="J58" s="29" t="s">
        <v>1354</v>
      </c>
    </row>
    <row r="59" spans="1:10" ht="36" x14ac:dyDescent="0.25">
      <c r="A59" s="22" t="s">
        <v>1336</v>
      </c>
      <c r="B59" s="13" t="s">
        <v>750</v>
      </c>
      <c r="C59" s="13"/>
      <c r="D59" s="13" t="s">
        <v>1014</v>
      </c>
      <c r="E59" s="13" t="str">
        <f>RPS[[#This Row],[Strand]]&amp;"-"&amp;RPS[[#This Row],[QET]]&amp;"-"&amp;RPS[[#This Row],[CO]]</f>
        <v>7.1.2-T-NCOI</v>
      </c>
      <c r="F59" s="16" t="s">
        <v>1459</v>
      </c>
      <c r="G59" s="16" t="s">
        <v>1460</v>
      </c>
      <c r="H59" s="16" t="s">
        <v>1461</v>
      </c>
      <c r="I59" s="16" t="s">
        <v>1462</v>
      </c>
      <c r="J59" s="28" t="s">
        <v>1354</v>
      </c>
    </row>
    <row r="60" spans="1:10" ht="72" x14ac:dyDescent="0.25">
      <c r="A60" s="22" t="s">
        <v>1338</v>
      </c>
      <c r="B60" s="13" t="s">
        <v>750</v>
      </c>
      <c r="C60" s="13"/>
      <c r="D60" s="13" t="s">
        <v>1012</v>
      </c>
      <c r="E60" s="13" t="str">
        <f>RPS[[#This Row],[Strand]]&amp;"-"&amp;RPS[[#This Row],[QET]]&amp;"-"&amp;RPS[[#This Row],[CO]]</f>
        <v>7.2.2-Q-NCOI</v>
      </c>
      <c r="F60" s="17" t="s">
        <v>1463</v>
      </c>
      <c r="G60" s="17" t="s">
        <v>1464</v>
      </c>
      <c r="H60" s="17" t="s">
        <v>1465</v>
      </c>
      <c r="I60" s="17" t="s">
        <v>1466</v>
      </c>
      <c r="J60" s="28" t="s">
        <v>1354</v>
      </c>
    </row>
    <row r="61" spans="1:10" ht="72" x14ac:dyDescent="0.25">
      <c r="A61" s="22" t="s">
        <v>1340</v>
      </c>
      <c r="B61" s="13" t="s">
        <v>750</v>
      </c>
      <c r="C61" s="13"/>
      <c r="D61" s="13" t="s">
        <v>1012</v>
      </c>
      <c r="E61" s="13" t="str">
        <f>RPS[[#This Row],[Strand]]&amp;"-"&amp;RPS[[#This Row],[QET]]&amp;"-"&amp;RPS[[#This Row],[CO]]</f>
        <v>7.3.2-Q-NCOI</v>
      </c>
      <c r="F61" s="16" t="s">
        <v>1467</v>
      </c>
      <c r="G61" s="16" t="s">
        <v>1468</v>
      </c>
      <c r="H61" s="16" t="s">
        <v>1469</v>
      </c>
      <c r="I61" s="16" t="s">
        <v>1470</v>
      </c>
      <c r="J61" s="28" t="s">
        <v>1354</v>
      </c>
    </row>
    <row r="62" spans="1:10" ht="36" x14ac:dyDescent="0.25">
      <c r="A62" s="22" t="s">
        <v>1340</v>
      </c>
      <c r="B62" s="13" t="s">
        <v>750</v>
      </c>
      <c r="C62" s="13"/>
      <c r="D62" s="13" t="s">
        <v>1014</v>
      </c>
      <c r="E62" s="13" t="str">
        <f>RPS[[#This Row],[Strand]]&amp;"-"&amp;RPS[[#This Row],[QET]]&amp;"-"&amp;RPS[[#This Row],[CO]]</f>
        <v>7.3.2-T-NCOI</v>
      </c>
      <c r="F62" s="16" t="s">
        <v>1471</v>
      </c>
      <c r="G62" s="16" t="s">
        <v>1472</v>
      </c>
      <c r="H62" s="16" t="s">
        <v>1473</v>
      </c>
      <c r="I62" s="16" t="s">
        <v>1474</v>
      </c>
      <c r="J62" s="28" t="s">
        <v>1354</v>
      </c>
    </row>
    <row r="63" spans="1:10" ht="48" x14ac:dyDescent="0.25">
      <c r="A63" s="22" t="s">
        <v>1342</v>
      </c>
      <c r="B63" s="13" t="s">
        <v>750</v>
      </c>
      <c r="C63" s="13"/>
      <c r="D63" s="13" t="s">
        <v>1012</v>
      </c>
      <c r="E63" s="13" t="str">
        <f>RPS[[#This Row],[Strand]]&amp;"-"&amp;RPS[[#This Row],[QET]]&amp;"-"&amp;RPS[[#This Row],[CO]]</f>
        <v>7.4.2-Q-NCOI</v>
      </c>
      <c r="F63" s="16" t="s">
        <v>1475</v>
      </c>
      <c r="G63" s="16" t="s">
        <v>1476</v>
      </c>
      <c r="H63" s="16" t="s">
        <v>1477</v>
      </c>
      <c r="I63" s="16" t="s">
        <v>1478</v>
      </c>
      <c r="J63" s="28" t="s">
        <v>1354</v>
      </c>
    </row>
    <row r="64" spans="1:10" ht="30" x14ac:dyDescent="0.25">
      <c r="A64" s="22" t="s">
        <v>1342</v>
      </c>
      <c r="B64" s="13" t="s">
        <v>750</v>
      </c>
      <c r="C64" s="13"/>
      <c r="D64" s="13" t="s">
        <v>1073</v>
      </c>
      <c r="E64" s="13" t="str">
        <f>RPS[[#This Row],[Strand]]&amp;"-"&amp;RPS[[#This Row],[QET]]&amp;"-"&amp;RPS[[#This Row],[CO]]</f>
        <v>7.4.2-E-NCOI</v>
      </c>
      <c r="F64" s="16" t="s">
        <v>1479</v>
      </c>
      <c r="G64" s="16" t="s">
        <v>1480</v>
      </c>
      <c r="H64" s="16" t="s">
        <v>1481</v>
      </c>
      <c r="I64" s="16" t="s">
        <v>1482</v>
      </c>
      <c r="J64" s="28" t="s">
        <v>1354</v>
      </c>
    </row>
    <row r="65" spans="1:10" ht="36" x14ac:dyDescent="0.25">
      <c r="A65" s="22" t="s">
        <v>1342</v>
      </c>
      <c r="B65" s="13" t="s">
        <v>750</v>
      </c>
      <c r="C65" s="13"/>
      <c r="D65" s="13" t="s">
        <v>1014</v>
      </c>
      <c r="E65" s="13" t="str">
        <f>RPS[[#This Row],[Strand]]&amp;"-"&amp;RPS[[#This Row],[QET]]&amp;"-"&amp;RPS[[#This Row],[CO]]</f>
        <v>7.4.2-T-NCOI</v>
      </c>
      <c r="F65" s="16" t="s">
        <v>1483</v>
      </c>
      <c r="G65" s="16" t="s">
        <v>1484</v>
      </c>
      <c r="H65" s="16" t="s">
        <v>1485</v>
      </c>
      <c r="I65" s="16" t="s">
        <v>1486</v>
      </c>
      <c r="J65" s="28" t="s">
        <v>1354</v>
      </c>
    </row>
    <row r="66" spans="1:10" ht="48" x14ac:dyDescent="0.25">
      <c r="A66" s="22" t="s">
        <v>1344</v>
      </c>
      <c r="B66" s="13" t="s">
        <v>750</v>
      </c>
      <c r="C66" s="13"/>
      <c r="D66" s="13" t="s">
        <v>1012</v>
      </c>
      <c r="E66" s="13" t="str">
        <f>RPS[[#This Row],[Strand]]&amp;"-"&amp;RPS[[#This Row],[QET]]&amp;"-"&amp;RPS[[#This Row],[CO]]</f>
        <v>7.5.2-Q-NCOI</v>
      </c>
      <c r="F66" s="17" t="s">
        <v>1475</v>
      </c>
      <c r="G66" s="17" t="s">
        <v>1476</v>
      </c>
      <c r="H66" s="17" t="s">
        <v>1487</v>
      </c>
      <c r="I66" s="17" t="s">
        <v>1478</v>
      </c>
      <c r="J66" s="29" t="s">
        <v>1354</v>
      </c>
    </row>
    <row r="67" spans="1:10" ht="30" x14ac:dyDescent="0.25">
      <c r="A67" s="22" t="s">
        <v>1344</v>
      </c>
      <c r="B67" s="13" t="s">
        <v>750</v>
      </c>
      <c r="C67" s="13"/>
      <c r="D67" s="13" t="s">
        <v>1073</v>
      </c>
      <c r="E67" s="13" t="str">
        <f>RPS[[#This Row],[Strand]]&amp;"-"&amp;RPS[[#This Row],[QET]]&amp;"-"&amp;RPS[[#This Row],[CO]]</f>
        <v>7.5.2-E-NCOI</v>
      </c>
      <c r="F67" s="16" t="s">
        <v>1479</v>
      </c>
      <c r="G67" s="16" t="s">
        <v>1480</v>
      </c>
      <c r="H67" s="16" t="s">
        <v>1481</v>
      </c>
      <c r="I67" s="16" t="s">
        <v>1482</v>
      </c>
      <c r="J67" s="28" t="s">
        <v>1354</v>
      </c>
    </row>
    <row r="68" spans="1:10" ht="36" x14ac:dyDescent="0.25">
      <c r="A68" s="22" t="s">
        <v>1344</v>
      </c>
      <c r="B68" s="13" t="s">
        <v>750</v>
      </c>
      <c r="C68" s="13"/>
      <c r="D68" s="13" t="s">
        <v>1014</v>
      </c>
      <c r="E68" s="13" t="str">
        <f>RPS[[#This Row],[Strand]]&amp;"-"&amp;RPS[[#This Row],[QET]]&amp;"-"&amp;RPS[[#This Row],[CO]]</f>
        <v>7.5.2-T-NCOI</v>
      </c>
      <c r="F68" s="16" t="s">
        <v>1483</v>
      </c>
      <c r="G68" s="16" t="s">
        <v>1484</v>
      </c>
      <c r="H68" s="16" t="s">
        <v>1485</v>
      </c>
      <c r="I68" s="16" t="s">
        <v>1486</v>
      </c>
      <c r="J68" s="28" t="s">
        <v>1354</v>
      </c>
    </row>
    <row r="69" spans="1:10" ht="72" x14ac:dyDescent="0.25">
      <c r="A69" s="24">
        <v>15</v>
      </c>
      <c r="B69" s="26" t="s">
        <v>750</v>
      </c>
      <c r="C69" s="26"/>
      <c r="D69" s="26" t="s">
        <v>1012</v>
      </c>
      <c r="E69" s="26" t="str">
        <f>RPS[[#This Row],[Strand]]&amp;"-"&amp;RPS[[#This Row],[QET]]&amp;"-"&amp;RPS[[#This Row],[CO]]</f>
        <v>15-Q-NCOI</v>
      </c>
      <c r="F69" s="31" t="s">
        <v>1488</v>
      </c>
      <c r="G69" s="31" t="s">
        <v>1489</v>
      </c>
      <c r="H69" s="31" t="s">
        <v>1490</v>
      </c>
      <c r="I69" s="31" t="s">
        <v>1491</v>
      </c>
      <c r="J69" s="28" t="s">
        <v>1354</v>
      </c>
    </row>
    <row r="70" spans="1:10" ht="60" x14ac:dyDescent="0.25">
      <c r="A70" s="24">
        <v>15</v>
      </c>
      <c r="B70" s="26" t="s">
        <v>750</v>
      </c>
      <c r="C70" s="26"/>
      <c r="D70" s="26" t="s">
        <v>1073</v>
      </c>
      <c r="E70" s="26" t="str">
        <f>RPS[[#This Row],[Strand]]&amp;"-"&amp;RPS[[#This Row],[QET]]&amp;"-"&amp;RPS[[#This Row],[CO]]</f>
        <v>15-E-NCOI</v>
      </c>
      <c r="F70" s="33" t="s">
        <v>1492</v>
      </c>
      <c r="G70" s="33" t="s">
        <v>1493</v>
      </c>
      <c r="H70" s="33" t="s">
        <v>1494</v>
      </c>
      <c r="I70" s="33" t="s">
        <v>1495</v>
      </c>
      <c r="J70" s="28" t="s">
        <v>1354</v>
      </c>
    </row>
    <row r="71" spans="1:10" ht="24" x14ac:dyDescent="0.25">
      <c r="A71" s="24">
        <v>15</v>
      </c>
      <c r="B71" s="26" t="s">
        <v>750</v>
      </c>
      <c r="C71" s="26"/>
      <c r="D71" s="26" t="s">
        <v>1014</v>
      </c>
      <c r="E71" s="26" t="str">
        <f>RPS[[#This Row],[Strand]]&amp;"-"&amp;RPS[[#This Row],[QET]]&amp;"-"&amp;RPS[[#This Row],[CO]]</f>
        <v>15-T-NCOI</v>
      </c>
      <c r="F71" s="33" t="s">
        <v>1496</v>
      </c>
      <c r="G71" s="33" t="s">
        <v>1497</v>
      </c>
      <c r="H71" s="33" t="s">
        <v>1498</v>
      </c>
      <c r="I71" s="33" t="s">
        <v>1499</v>
      </c>
      <c r="J71" s="28" t="s">
        <v>1354</v>
      </c>
    </row>
  </sheetData>
  <sheetProtection algorithmName="SHA-512" hashValue="Dab7G8o1KzxdBjooQxZ0ef8EcEeZ4dvKtSViVLJlknSyEjNbdpKGMPwrn9VDosfedFQFYl718LPgRQ67LiHHGw==" saltValue="hQI5O5gI+fgcMOOxka3YnQ==" spinCount="100000" sheet="1" objects="1" scenarios="1" selectLockedCells="1" selectUnlockedCells="1"/>
  <phoneticPr fontId="31" type="noConversion"/>
  <pageMargins left="0.7" right="0.7" top="0.75" bottom="0.75" header="0.3" footer="0.3"/>
  <pageSetup orientation="portrait" r:id="rId1"/>
  <legacyDrawing r:id="rId2"/>
  <tableParts count="1">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5B97B-8456-4A77-B7C7-A383732A9D17}">
  <sheetPr codeName="RHPI_Sheet"/>
  <dimension ref="A1:M40"/>
  <sheetViews>
    <sheetView zoomScaleNormal="100" workbookViewId="0">
      <pane ySplit="1" topLeftCell="A2" activePane="bottomLeft" state="frozen"/>
      <selection activeCell="B6" sqref="B6"/>
      <selection pane="bottomLeft" activeCell="B6" sqref="B6"/>
    </sheetView>
  </sheetViews>
  <sheetFormatPr defaultColWidth="8.85546875" defaultRowHeight="15" x14ac:dyDescent="0.25"/>
  <cols>
    <col min="1" max="1" width="8.42578125" style="6" customWidth="1"/>
    <col min="2" max="2" width="45.42578125" style="5" customWidth="1"/>
    <col min="3" max="3" width="11.7109375" style="6" customWidth="1"/>
    <col min="4" max="4" width="9.140625" style="6" customWidth="1"/>
    <col min="5" max="5" width="5.140625" style="6" customWidth="1"/>
    <col min="6" max="6" width="8.85546875" style="5"/>
    <col min="7" max="7" width="10.140625" style="6" customWidth="1"/>
    <col min="8" max="8" width="8.85546875" style="205"/>
    <col min="9" max="9" width="8.85546875" style="6"/>
    <col min="10" max="16384" width="8.85546875" style="5"/>
  </cols>
  <sheetData>
    <row r="1" spans="1:13" s="1" customFormat="1" ht="45" x14ac:dyDescent="0.25">
      <c r="A1" s="20" t="s">
        <v>882</v>
      </c>
      <c r="B1" s="23" t="s">
        <v>883</v>
      </c>
      <c r="C1" s="23" t="s">
        <v>1261</v>
      </c>
      <c r="D1" s="23" t="s">
        <v>884</v>
      </c>
      <c r="E1" s="12" t="s">
        <v>885</v>
      </c>
      <c r="F1" s="12" t="s">
        <v>1269</v>
      </c>
      <c r="G1" s="12" t="s">
        <v>1270</v>
      </c>
      <c r="H1" s="204" t="s">
        <v>887</v>
      </c>
      <c r="I1" s="12" t="s">
        <v>1271</v>
      </c>
      <c r="J1" s="12" t="s">
        <v>82</v>
      </c>
      <c r="K1" s="12" t="s">
        <v>83</v>
      </c>
      <c r="L1" s="12" t="s">
        <v>84</v>
      </c>
      <c r="M1" s="12" t="s">
        <v>85</v>
      </c>
    </row>
    <row r="2" spans="1:13" ht="48" customHeight="1" x14ac:dyDescent="0.25">
      <c r="A2" s="22" t="s">
        <v>1500</v>
      </c>
      <c r="B2" s="18" t="s">
        <v>1501</v>
      </c>
      <c r="C2" s="13">
        <v>1</v>
      </c>
      <c r="D2" s="320" t="str">
        <f>IFERROR(IF(AND(COUNTIF(RHPS[helper],RHPI[[#This Row],[Strand]]&amp;"-Q-COI")&gt;0,COUNTIF(RHPS[helper],RHPI[[#This Row],[Strand]]&amp;"-Q-NCOI")&gt;0),"COI/NCOI",IF(COUNTIF(RHPS[helper],RHPI[[#This Row],[Strand]]&amp;"-Q-COI")&gt;0,"COI",IF(COUNTIF(RHPS[helper],RHPI[[#This Row],[Strand]]&amp;"-Q-NCOI")&gt;0,"NCOI",""))),"")</f>
        <v>COI</v>
      </c>
      <c r="E2" s="13">
        <v>3</v>
      </c>
      <c r="F2" s="327" t="b">
        <f>VLOOKUP(RHPI[[#This Row],[Strand]],indSelect_RHP,7,FALSE)</f>
        <v>1</v>
      </c>
      <c r="G2" s="320" t="str">
        <f>IF(AND(career_stage="HP",teacher_type="R",RHPI[[#This Row],[CO]]="COI/NCOI",RHPI[[#This Row],[Selected]]),VLOOKUP(RHPI[[#This Row],[Strand]],coi_ncoi_select,COLUMNS(coi_ncoi_select),FALSE),RHPI[[#This Row],[CO]])</f>
        <v>COI</v>
      </c>
      <c r="H2" s="323">
        <f>VLOOKUP(RHPI[[#This Row],[Strand]],indSelect_RHP,6,FALSE)</f>
        <v>7.0000000000000007E-2</v>
      </c>
      <c r="I2" s="320" t="str">
        <f>IFERROR(IF(AND(RHPI[[#This Row],[Selected]],RHPI[[#This Row],[CO]]="COI/NCOI"),VLOOKUP(RHPI[[#This Row],[Strand]],indSelect_RHP,9,FALSE),RHPI[[#This Row],[CO]]),RHPI[[#This Row],[CO]])</f>
        <v>COI</v>
      </c>
      <c r="J2" s="327" t="b">
        <f>IF(AND(required_cot&gt;=1,RHPI[[#This Row],[Selected]]),VLOOKUP(RHPI[[#This Row],[Strand]],indSelect_RHP,10,FALSE)=1,FALSE)</f>
        <v>1</v>
      </c>
      <c r="K2" s="327" t="b">
        <f>IF(AND(required_cot&gt;=2,RHPI[[#This Row],[Selected]]),VLOOKUP(RHPI[[#This Row],[Strand]],indSelect_RHP,11,FALSE)=1,FALSE)</f>
        <v>1</v>
      </c>
      <c r="L2" s="327" t="b">
        <f>IF(AND(required_cot&gt;=3,RHPI[[#This Row],[Selected]]),VLOOKUP(RHPI[[#This Row],[Strand]],indSelect_RHP,12,FALSE)=1,FALSE)</f>
        <v>1</v>
      </c>
      <c r="M2" s="327" t="b">
        <f>IF(AND(required_cot&gt;=4,RHPI[[#This Row],[Selected]]),VLOOKUP(RHPI[[#This Row],[Strand]],indSelect_RHP,13,FALSE)=1,FALSE)</f>
        <v>1</v>
      </c>
    </row>
    <row r="3" spans="1:13" ht="45" x14ac:dyDescent="0.25">
      <c r="A3" s="22" t="s">
        <v>1502</v>
      </c>
      <c r="B3" s="18" t="s">
        <v>1503</v>
      </c>
      <c r="C3" s="13">
        <v>1</v>
      </c>
      <c r="D3" s="320" t="str">
        <f>IFERROR(IF(AND(COUNTIF(RHPS[helper],RHPI[[#This Row],[Strand]]&amp;"-Q-COI")&gt;0,COUNTIF(RHPS[helper],RHPI[[#This Row],[Strand]]&amp;"-Q-NCOI")&gt;0),"COI/NCOI",IF(COUNTIF(RHPS[helper],RHPI[[#This Row],[Strand]]&amp;"-Q-COI")&gt;0,"COI",IF(COUNTIF(RHPS[helper],RHPI[[#This Row],[Strand]]&amp;"-Q-NCOI")&gt;0,"NCOI",""))),"")</f>
        <v>NCOI</v>
      </c>
      <c r="E3" s="13">
        <v>1</v>
      </c>
      <c r="F3" s="327" t="b">
        <f>VLOOKUP(RHPI[[#This Row],[Strand]],indSelect_RHP,7,FALSE)</f>
        <v>0</v>
      </c>
      <c r="G3" s="320" t="str">
        <f>IF(AND(career_stage="HP",teacher_type="R",RHPI[[#This Row],[CO]]="COI/NCOI",RHPI[[#This Row],[Selected]]),VLOOKUP(RHPI[[#This Row],[Strand]],coi_ncoi_select,COLUMNS(coi_ncoi_select),FALSE),RHPI[[#This Row],[CO]])</f>
        <v>NCOI</v>
      </c>
      <c r="H3" s="323">
        <f>VLOOKUP(RHPI[[#This Row],[Strand]],indSelect_RHP,6,FALSE)</f>
        <v>0</v>
      </c>
      <c r="I3" s="320" t="str">
        <f>IFERROR(IF(AND(RHPI[[#This Row],[Selected]],RHPI[[#This Row],[CO]]="COI/NCOI"),VLOOKUP(RHPI[[#This Row],[Strand]],indSelect_RHP,9,FALSE),RHPI[[#This Row],[CO]]),RHPI[[#This Row],[CO]])</f>
        <v>NCOI</v>
      </c>
      <c r="J3" s="327" t="b">
        <f>IF(AND(required_cot&gt;=1,RHPI[[#This Row],[Selected]]),VLOOKUP(RHPI[[#This Row],[Strand]],indSelect_RHP,10,FALSE)=1,FALSE)</f>
        <v>0</v>
      </c>
      <c r="K3" s="327" t="b">
        <f>IF(AND(required_cot&gt;=2,RHPI[[#This Row],[Selected]]),VLOOKUP(RHPI[[#This Row],[Strand]],indSelect_RHP,11,FALSE)=1,FALSE)</f>
        <v>0</v>
      </c>
      <c r="L3" s="327" t="b">
        <f>IF(AND(required_cot&gt;=3,RHPI[[#This Row],[Selected]]),VLOOKUP(RHPI[[#This Row],[Strand]],indSelect_RHP,12,FALSE)=1,FALSE)</f>
        <v>0</v>
      </c>
      <c r="M3" s="327" t="b">
        <f>IF(AND(required_cot&gt;=4,RHPI[[#This Row],[Selected]]),VLOOKUP(RHPI[[#This Row],[Strand]],indSelect_RHP,13,FALSE)=1,FALSE)</f>
        <v>0</v>
      </c>
    </row>
    <row r="4" spans="1:13" ht="45" x14ac:dyDescent="0.25">
      <c r="A4" s="22" t="s">
        <v>1504</v>
      </c>
      <c r="B4" s="19" t="s">
        <v>1505</v>
      </c>
      <c r="C4" s="13">
        <v>1</v>
      </c>
      <c r="D4" s="320" t="str">
        <f>IFERROR(IF(AND(COUNTIF(RHPS[helper],RHPI[[#This Row],[Strand]]&amp;"-Q-COI")&gt;0,COUNTIF(RHPS[helper],RHPI[[#This Row],[Strand]]&amp;"-Q-NCOI")&gt;0),"COI/NCOI",IF(COUNTIF(RHPS[helper],RHPI[[#This Row],[Strand]]&amp;"-Q-COI")&gt;0,"COI",IF(COUNTIF(RHPS[helper],RHPI[[#This Row],[Strand]]&amp;"-Q-NCOI")&gt;0,"NCOI",""))),"")</f>
        <v>NCOI</v>
      </c>
      <c r="E4" s="13">
        <v>2</v>
      </c>
      <c r="F4" s="327" t="b">
        <f>VLOOKUP(RHPI[[#This Row],[Strand]],indSelect_RHP,7,FALSE)</f>
        <v>0</v>
      </c>
      <c r="G4" s="320" t="str">
        <f>IF(AND(career_stage="HP",teacher_type="R",RHPI[[#This Row],[CO]]="COI/NCOI",RHPI[[#This Row],[Selected]]),VLOOKUP(RHPI[[#This Row],[Strand]],coi_ncoi_select,COLUMNS(coi_ncoi_select),FALSE),RHPI[[#This Row],[CO]])</f>
        <v>NCOI</v>
      </c>
      <c r="H4" s="323">
        <f>VLOOKUP(RHPI[[#This Row],[Strand]],indSelect_RHP,6,FALSE)</f>
        <v>0</v>
      </c>
      <c r="I4" s="320" t="str">
        <f>IFERROR(IF(AND(RHPI[[#This Row],[Selected]],RHPI[[#This Row],[CO]]="COI/NCOI"),VLOOKUP(RHPI[[#This Row],[Strand]],indSelect_RHP,9,FALSE),RHPI[[#This Row],[CO]]),RHPI[[#This Row],[CO]])</f>
        <v>NCOI</v>
      </c>
      <c r="J4" s="327" t="b">
        <f>IF(AND(required_cot&gt;=1,RHPI[[#This Row],[Selected]]),VLOOKUP(RHPI[[#This Row],[Strand]],indSelect_RHP,10,FALSE)=1,FALSE)</f>
        <v>0</v>
      </c>
      <c r="K4" s="327" t="b">
        <f>IF(AND(required_cot&gt;=2,RHPI[[#This Row],[Selected]]),VLOOKUP(RHPI[[#This Row],[Strand]],indSelect_RHP,11,FALSE)=1,FALSE)</f>
        <v>0</v>
      </c>
      <c r="L4" s="327" t="b">
        <f>IF(AND(required_cot&gt;=3,RHPI[[#This Row],[Selected]]),VLOOKUP(RHPI[[#This Row],[Strand]],indSelect_RHP,12,FALSE)=1,FALSE)</f>
        <v>0</v>
      </c>
      <c r="M4" s="327" t="b">
        <f>IF(AND(required_cot&gt;=4,RHPI[[#This Row],[Selected]]),VLOOKUP(RHPI[[#This Row],[Strand]],indSelect_RHP,13,FALSE)=1,FALSE)</f>
        <v>0</v>
      </c>
    </row>
    <row r="5" spans="1:13" s="2" customFormat="1" ht="45" x14ac:dyDescent="0.25">
      <c r="A5" s="22" t="s">
        <v>1506</v>
      </c>
      <c r="B5" s="19" t="s">
        <v>1507</v>
      </c>
      <c r="C5" s="13">
        <v>1</v>
      </c>
      <c r="D5" s="320" t="str">
        <f>IFERROR(IF(AND(COUNTIF(RHPS[helper],RHPI[[#This Row],[Strand]]&amp;"-Q-COI")&gt;0,COUNTIF(RHPS[helper],RHPI[[#This Row],[Strand]]&amp;"-Q-NCOI")&gt;0),"COI/NCOI",IF(COUNTIF(RHPS[helper],RHPI[[#This Row],[Strand]]&amp;"-Q-COI")&gt;0,"COI",IF(COUNTIF(RHPS[helper],RHPI[[#This Row],[Strand]]&amp;"-Q-NCOI")&gt;0,"NCOI",""))),"")</f>
        <v>NCOI</v>
      </c>
      <c r="E5" s="13">
        <v>3</v>
      </c>
      <c r="F5" s="328" t="b">
        <f>VLOOKUP(RHPI[[#This Row],[Strand]],indSelect_RHP,7,FALSE)</f>
        <v>1</v>
      </c>
      <c r="G5" s="329" t="str">
        <f>IF(AND(career_stage="HP",teacher_type="R",RHPI[[#This Row],[CO]]="COI/NCOI",RHPI[[#This Row],[Selected]]),VLOOKUP(RHPI[[#This Row],[Strand]],coi_ncoi_select,COLUMNS(coi_ncoi_select),FALSE),RHPI[[#This Row],[CO]])</f>
        <v>NCOI</v>
      </c>
      <c r="H5" s="330">
        <f>VLOOKUP(RHPI[[#This Row],[Strand]],indSelect_RHP,6,FALSE)</f>
        <v>7.0000000000000007E-2</v>
      </c>
      <c r="I5" s="329" t="str">
        <f>IFERROR(IF(AND(RHPI[[#This Row],[Selected]],RHPI[[#This Row],[CO]]="COI/NCOI"),VLOOKUP(RHPI[[#This Row],[Strand]],indSelect_RHP,9,FALSE),RHPI[[#This Row],[CO]]),RHPI[[#This Row],[CO]])</f>
        <v>NCOI</v>
      </c>
      <c r="J5" s="328" t="b">
        <f>IF(AND(required_cot&gt;=1,RHPI[[#This Row],[Selected]]),VLOOKUP(RHPI[[#This Row],[Strand]],indSelect_RHP,10,FALSE)=1,FALSE)</f>
        <v>0</v>
      </c>
      <c r="K5" s="328" t="b">
        <f>IF(AND(required_cot&gt;=2,RHPI[[#This Row],[Selected]]),VLOOKUP(RHPI[[#This Row],[Strand]],indSelect_RHP,11,FALSE)=1,FALSE)</f>
        <v>0</v>
      </c>
      <c r="L5" s="328" t="b">
        <f>IF(AND(required_cot&gt;=3,RHPI[[#This Row],[Selected]]),VLOOKUP(RHPI[[#This Row],[Strand]],indSelect_RHP,12,FALSE)=1,FALSE)</f>
        <v>0</v>
      </c>
      <c r="M5" s="328" t="b">
        <f>IF(AND(required_cot&gt;=4,RHPI[[#This Row],[Selected]]),VLOOKUP(RHPI[[#This Row],[Strand]],indSelect_RHP,13,FALSE)=1,FALSE)</f>
        <v>0</v>
      </c>
    </row>
    <row r="6" spans="1:13" ht="60" x14ac:dyDescent="0.25">
      <c r="A6" s="22" t="s">
        <v>1508</v>
      </c>
      <c r="B6" s="18" t="s">
        <v>1509</v>
      </c>
      <c r="C6" s="13">
        <v>1</v>
      </c>
      <c r="D6" s="320" t="str">
        <f>IFERROR(IF(AND(COUNTIF(RHPS[helper],RHPI[[#This Row],[Strand]]&amp;"-Q-COI")&gt;0,COUNTIF(RHPS[helper],RHPI[[#This Row],[Strand]]&amp;"-Q-NCOI")&gt;0),"COI/NCOI",IF(COUNTIF(RHPS[helper],RHPI[[#This Row],[Strand]]&amp;"-Q-COI")&gt;0,"COI",IF(COUNTIF(RHPS[helper],RHPI[[#This Row],[Strand]]&amp;"-Q-NCOI")&gt;0,"NCOI",""))),"")</f>
        <v>COI</v>
      </c>
      <c r="E6" s="13">
        <v>2</v>
      </c>
      <c r="F6" s="327" t="b">
        <f>VLOOKUP(RHPI[[#This Row],[Strand]],indSelect_RHP,7,FALSE)</f>
        <v>1</v>
      </c>
      <c r="G6" s="320" t="str">
        <f>IF(AND(career_stage="HP",teacher_type="R",RHPI[[#This Row],[CO]]="COI/NCOI",RHPI[[#This Row],[Selected]]),VLOOKUP(RHPI[[#This Row],[Strand]],coi_ncoi_select,COLUMNS(coi_ncoi_select),FALSE),RHPI[[#This Row],[CO]])</f>
        <v>COI</v>
      </c>
      <c r="H6" s="323">
        <f>VLOOKUP(RHPI[[#This Row],[Strand]],indSelect_RHP,6,FALSE)</f>
        <v>7.0000000000000007E-2</v>
      </c>
      <c r="I6" s="320" t="str">
        <f>IFERROR(IF(AND(RHPI[[#This Row],[Selected]],RHPI[[#This Row],[CO]]="COI/NCOI"),VLOOKUP(RHPI[[#This Row],[Strand]],indSelect_RHP,9,FALSE),RHPI[[#This Row],[CO]]),RHPI[[#This Row],[CO]])</f>
        <v>COI</v>
      </c>
      <c r="J6" s="327" t="b">
        <f>IF(AND(required_cot&gt;=1,RHPI[[#This Row],[Selected]]),VLOOKUP(RHPI[[#This Row],[Strand]],indSelect_RHP,10,FALSE)=1,FALSE)</f>
        <v>1</v>
      </c>
      <c r="K6" s="327" t="b">
        <f>IF(AND(required_cot&gt;=2,RHPI[[#This Row],[Selected]]),VLOOKUP(RHPI[[#This Row],[Strand]],indSelect_RHP,11,FALSE)=1,FALSE)</f>
        <v>1</v>
      </c>
      <c r="L6" s="327" t="b">
        <f>IF(AND(required_cot&gt;=3,RHPI[[#This Row],[Selected]]),VLOOKUP(RHPI[[#This Row],[Strand]],indSelect_RHP,12,FALSE)=1,FALSE)</f>
        <v>1</v>
      </c>
      <c r="M6" s="327" t="b">
        <f>IF(AND(required_cot&gt;=4,RHPI[[#This Row],[Selected]]),VLOOKUP(RHPI[[#This Row],[Strand]],indSelect_RHP,13,FALSE)=1,FALSE)</f>
        <v>1</v>
      </c>
    </row>
    <row r="7" spans="1:13" ht="75.599999999999994" customHeight="1" x14ac:dyDescent="0.25">
      <c r="A7" s="22" t="s">
        <v>1510</v>
      </c>
      <c r="B7" s="19" t="s">
        <v>1511</v>
      </c>
      <c r="C7" s="13">
        <v>1</v>
      </c>
      <c r="D7" s="320" t="str">
        <f>IFERROR(IF(AND(COUNTIF(RHPS[helper],RHPI[[#This Row],[Strand]]&amp;"-Q-COI")&gt;0,COUNTIF(RHPS[helper],RHPI[[#This Row],[Strand]]&amp;"-Q-NCOI")&gt;0),"COI/NCOI",IF(COUNTIF(RHPS[helper],RHPI[[#This Row],[Strand]]&amp;"-Q-COI")&gt;0,"COI",IF(COUNTIF(RHPS[helper],RHPI[[#This Row],[Strand]]&amp;"-Q-NCOI")&gt;0,"NCOI",""))),"")</f>
        <v>COI</v>
      </c>
      <c r="E7" s="13">
        <v>3</v>
      </c>
      <c r="F7" s="327" t="b">
        <f>VLOOKUP(RHPI[[#This Row],[Strand]],indSelect_RHP,7,FALSE)</f>
        <v>1</v>
      </c>
      <c r="G7" s="320" t="str">
        <f>IF(AND(career_stage="HP",teacher_type="R",RHPI[[#This Row],[CO]]="COI/NCOI",RHPI[[#This Row],[Selected]]),VLOOKUP(RHPI[[#This Row],[Strand]],coi_ncoi_select,COLUMNS(coi_ncoi_select),FALSE),RHPI[[#This Row],[CO]])</f>
        <v>COI</v>
      </c>
      <c r="H7" s="323">
        <f>VLOOKUP(RHPI[[#This Row],[Strand]],indSelect_RHP,6,FALSE)</f>
        <v>7.0000000000000007E-2</v>
      </c>
      <c r="I7" s="320" t="str">
        <f>IFERROR(IF(AND(RHPI[[#This Row],[Selected]],RHPI[[#This Row],[CO]]="COI/NCOI"),VLOOKUP(RHPI[[#This Row],[Strand]],indSelect_RHP,9,FALSE),RHPI[[#This Row],[CO]]),RHPI[[#This Row],[CO]])</f>
        <v>COI</v>
      </c>
      <c r="J7" s="327" t="b">
        <f>IF(AND(required_cot&gt;=1,RHPI[[#This Row],[Selected]]),VLOOKUP(RHPI[[#This Row],[Strand]],indSelect_RHP,10,FALSE)=1,FALSE)</f>
        <v>1</v>
      </c>
      <c r="K7" s="327" t="b">
        <f>IF(AND(required_cot&gt;=2,RHPI[[#This Row],[Selected]]),VLOOKUP(RHPI[[#This Row],[Strand]],indSelect_RHP,11,FALSE)=1,FALSE)</f>
        <v>0</v>
      </c>
      <c r="L7" s="327" t="b">
        <f>IF(AND(required_cot&gt;=3,RHPI[[#This Row],[Selected]]),VLOOKUP(RHPI[[#This Row],[Strand]],indSelect_RHP,12,FALSE)=1,FALSE)</f>
        <v>1</v>
      </c>
      <c r="M7" s="327" t="b">
        <f>IF(AND(required_cot&gt;=4,RHPI[[#This Row],[Selected]]),VLOOKUP(RHPI[[#This Row],[Strand]],indSelect_RHP,13,FALSE)=1,FALSE)</f>
        <v>0</v>
      </c>
    </row>
    <row r="8" spans="1:13" ht="60" x14ac:dyDescent="0.25">
      <c r="A8" s="22" t="s">
        <v>1512</v>
      </c>
      <c r="B8" s="19" t="s">
        <v>1513</v>
      </c>
      <c r="C8" s="13">
        <v>1</v>
      </c>
      <c r="D8" s="320" t="str">
        <f>IFERROR(IF(AND(COUNTIF(RHPS[helper],RHPI[[#This Row],[Strand]]&amp;"-Q-COI")&gt;0,COUNTIF(RHPS[helper],RHPI[[#This Row],[Strand]]&amp;"-Q-NCOI")&gt;0),"COI/NCOI",IF(COUNTIF(RHPS[helper],RHPI[[#This Row],[Strand]]&amp;"-Q-COI")&gt;0,"COI",IF(COUNTIF(RHPS[helper],RHPI[[#This Row],[Strand]]&amp;"-Q-NCOI")&gt;0,"NCOI",""))),"")</f>
        <v>COI</v>
      </c>
      <c r="E8" s="13">
        <v>3</v>
      </c>
      <c r="F8" s="327" t="b">
        <f>VLOOKUP(RHPI[[#This Row],[Strand]],indSelect_RHP,7,FALSE)</f>
        <v>0</v>
      </c>
      <c r="G8" s="320" t="str">
        <f>IF(AND(career_stage="HP",teacher_type="R",RHPI[[#This Row],[CO]]="COI/NCOI",RHPI[[#This Row],[Selected]]),VLOOKUP(RHPI[[#This Row],[Strand]],coi_ncoi_select,COLUMNS(coi_ncoi_select),FALSE),RHPI[[#This Row],[CO]])</f>
        <v>COI</v>
      </c>
      <c r="H8" s="323">
        <f>VLOOKUP(RHPI[[#This Row],[Strand]],indSelect_RHP,6,FALSE)</f>
        <v>0</v>
      </c>
      <c r="I8" s="320" t="str">
        <f>IFERROR(IF(AND(RHPI[[#This Row],[Selected]],RHPI[[#This Row],[CO]]="COI/NCOI"),VLOOKUP(RHPI[[#This Row],[Strand]],indSelect_RHP,9,FALSE),RHPI[[#This Row],[CO]]),RHPI[[#This Row],[CO]])</f>
        <v>COI</v>
      </c>
      <c r="J8" s="327" t="b">
        <f>IF(AND(required_cot&gt;=1,RHPI[[#This Row],[Selected]]),VLOOKUP(RHPI[[#This Row],[Strand]],indSelect_RHP,10,FALSE)=1,FALSE)</f>
        <v>0</v>
      </c>
      <c r="K8" s="327" t="b">
        <f>IF(AND(required_cot&gt;=2,RHPI[[#This Row],[Selected]]),VLOOKUP(RHPI[[#This Row],[Strand]],indSelect_RHP,11,FALSE)=1,FALSE)</f>
        <v>0</v>
      </c>
      <c r="L8" s="327" t="b">
        <f>IF(AND(required_cot&gt;=3,RHPI[[#This Row],[Selected]]),VLOOKUP(RHPI[[#This Row],[Strand]],indSelect_RHP,12,FALSE)=1,FALSE)</f>
        <v>0</v>
      </c>
      <c r="M8" s="327" t="b">
        <f>IF(AND(required_cot&gt;=4,RHPI[[#This Row],[Selected]]),VLOOKUP(RHPI[[#This Row],[Strand]],indSelect_RHP,13,FALSE)=1,FALSE)</f>
        <v>0</v>
      </c>
    </row>
    <row r="9" spans="1:13" ht="60" x14ac:dyDescent="0.25">
      <c r="A9" s="22" t="s">
        <v>1514</v>
      </c>
      <c r="B9" s="19" t="s">
        <v>1515</v>
      </c>
      <c r="C9" s="13">
        <v>2</v>
      </c>
      <c r="D9" s="320" t="str">
        <f>IFERROR(IF(AND(COUNTIF(RHPS[helper],RHPI[[#This Row],[Strand]]&amp;"-Q-COI")&gt;0,COUNTIF(RHPS[helper],RHPI[[#This Row],[Strand]]&amp;"-Q-NCOI")&gt;0),"COI/NCOI",IF(COUNTIF(RHPS[helper],RHPI[[#This Row],[Strand]]&amp;"-Q-COI")&gt;0,"COI",IF(COUNTIF(RHPS[helper],RHPI[[#This Row],[Strand]]&amp;"-Q-NCOI")&gt;0,"NCOI",""))),"")</f>
        <v>COI</v>
      </c>
      <c r="E9" s="13">
        <v>3</v>
      </c>
      <c r="F9" s="327" t="b">
        <f>VLOOKUP(RHPI[[#This Row],[Strand]],indSelect_RHP,7,FALSE)</f>
        <v>1</v>
      </c>
      <c r="G9" s="320" t="str">
        <f>IF(AND(career_stage="HP",teacher_type="R",RHPI[[#This Row],[CO]]="COI/NCOI",RHPI[[#This Row],[Selected]]),VLOOKUP(RHPI[[#This Row],[Strand]],coi_ncoi_select,COLUMNS(coi_ncoi_select),FALSE),RHPI[[#This Row],[CO]])</f>
        <v>COI</v>
      </c>
      <c r="H9" s="323">
        <f>VLOOKUP(RHPI[[#This Row],[Strand]],indSelect_RHP,6,FALSE)</f>
        <v>7.0000000000000007E-2</v>
      </c>
      <c r="I9" s="320" t="str">
        <f>IFERROR(IF(AND(RHPI[[#This Row],[Selected]],RHPI[[#This Row],[CO]]="COI/NCOI"),VLOOKUP(RHPI[[#This Row],[Strand]],indSelect_RHP,9,FALSE),RHPI[[#This Row],[CO]]),RHPI[[#This Row],[CO]])</f>
        <v>COI</v>
      </c>
      <c r="J9" s="327" t="b">
        <f>IF(AND(required_cot&gt;=1,RHPI[[#This Row],[Selected]]),VLOOKUP(RHPI[[#This Row],[Strand]],indSelect_RHP,10,FALSE)=1,FALSE)</f>
        <v>1</v>
      </c>
      <c r="K9" s="327" t="b">
        <f>IF(AND(required_cot&gt;=2,RHPI[[#This Row],[Selected]]),VLOOKUP(RHPI[[#This Row],[Strand]],indSelect_RHP,11,FALSE)=1,FALSE)</f>
        <v>0</v>
      </c>
      <c r="L9" s="327" t="b">
        <f>IF(AND(required_cot&gt;=3,RHPI[[#This Row],[Selected]]),VLOOKUP(RHPI[[#This Row],[Strand]],indSelect_RHP,12,FALSE)=1,FALSE)</f>
        <v>1</v>
      </c>
      <c r="M9" s="327" t="b">
        <f>IF(AND(required_cot&gt;=4,RHPI[[#This Row],[Selected]]),VLOOKUP(RHPI[[#This Row],[Strand]],indSelect_RHP,13,FALSE)=1,FALSE)</f>
        <v>0</v>
      </c>
    </row>
    <row r="10" spans="1:13" ht="45" x14ac:dyDescent="0.25">
      <c r="A10" s="22" t="s">
        <v>1516</v>
      </c>
      <c r="B10" s="19" t="s">
        <v>1517</v>
      </c>
      <c r="C10" s="13">
        <v>2</v>
      </c>
      <c r="D10" s="320" t="str">
        <f>IFERROR(IF(AND(COUNTIF(RHPS[helper],RHPI[[#This Row],[Strand]]&amp;"-Q-COI")&gt;0,COUNTIF(RHPS[helper],RHPI[[#This Row],[Strand]]&amp;"-Q-NCOI")&gt;0),"COI/NCOI",IF(COUNTIF(RHPS[helper],RHPI[[#This Row],[Strand]]&amp;"-Q-COI")&gt;0,"COI",IF(COUNTIF(RHPS[helper],RHPI[[#This Row],[Strand]]&amp;"-Q-NCOI")&gt;0,"NCOI",""))),"")</f>
        <v>COI</v>
      </c>
      <c r="E10" s="13">
        <v>3</v>
      </c>
      <c r="F10" s="327" t="b">
        <f>VLOOKUP(RHPI[[#This Row],[Strand]],indSelect_RHP,7,FALSE)</f>
        <v>1</v>
      </c>
      <c r="G10" s="320" t="str">
        <f>IF(AND(career_stage="HP",teacher_type="R",RHPI[[#This Row],[CO]]="COI/NCOI",RHPI[[#This Row],[Selected]]),VLOOKUP(RHPI[[#This Row],[Strand]],coi_ncoi_select,COLUMNS(coi_ncoi_select),FALSE),RHPI[[#This Row],[CO]])</f>
        <v>COI</v>
      </c>
      <c r="H10" s="323">
        <f>VLOOKUP(RHPI[[#This Row],[Strand]],indSelect_RHP,6,FALSE)</f>
        <v>7.0000000000000007E-2</v>
      </c>
      <c r="I10" s="320" t="str">
        <f>IFERROR(IF(AND(RHPI[[#This Row],[Selected]],RHPI[[#This Row],[CO]]="COI/NCOI"),VLOOKUP(RHPI[[#This Row],[Strand]],indSelect_RHP,9,FALSE),RHPI[[#This Row],[CO]]),RHPI[[#This Row],[CO]])</f>
        <v>COI</v>
      </c>
      <c r="J10" s="327" t="b">
        <f>IF(AND(required_cot&gt;=1,RHPI[[#This Row],[Selected]]),VLOOKUP(RHPI[[#This Row],[Strand]],indSelect_RHP,10,FALSE)=1,FALSE)</f>
        <v>1</v>
      </c>
      <c r="K10" s="327" t="b">
        <f>IF(AND(required_cot&gt;=2,RHPI[[#This Row],[Selected]]),VLOOKUP(RHPI[[#This Row],[Strand]],indSelect_RHP,11,FALSE)=1,FALSE)</f>
        <v>0</v>
      </c>
      <c r="L10" s="327" t="b">
        <f>IF(AND(required_cot&gt;=3,RHPI[[#This Row],[Selected]]),VLOOKUP(RHPI[[#This Row],[Strand]],indSelect_RHP,12,FALSE)=1,FALSE)</f>
        <v>1</v>
      </c>
      <c r="M10" s="327" t="b">
        <f>IF(AND(required_cot&gt;=4,RHPI[[#This Row],[Selected]]),VLOOKUP(RHPI[[#This Row],[Strand]],indSelect_RHP,13,FALSE)=1,FALSE)</f>
        <v>0</v>
      </c>
    </row>
    <row r="11" spans="1:13" ht="90" x14ac:dyDescent="0.25">
      <c r="A11" s="22" t="s">
        <v>1518</v>
      </c>
      <c r="B11" s="18" t="s">
        <v>1519</v>
      </c>
      <c r="C11" s="13">
        <v>2</v>
      </c>
      <c r="D11" s="320" t="str">
        <f>IFERROR(IF(AND(COUNTIF(RHPS[helper],RHPI[[#This Row],[Strand]]&amp;"-Q-COI")&gt;0,COUNTIF(RHPS[helper],RHPI[[#This Row],[Strand]]&amp;"-Q-NCOI")&gt;0),"COI/NCOI",IF(COUNTIF(RHPS[helper],RHPI[[#This Row],[Strand]]&amp;"-Q-COI")&gt;0,"COI",IF(COUNTIF(RHPS[helper],RHPI[[#This Row],[Strand]]&amp;"-Q-NCOI")&gt;0,"NCOI",""))),"")</f>
        <v>COI</v>
      </c>
      <c r="E11" s="13">
        <v>1</v>
      </c>
      <c r="F11" s="327" t="b">
        <f>VLOOKUP(RHPI[[#This Row],[Strand]],indSelect_RHP,7,FALSE)</f>
        <v>0</v>
      </c>
      <c r="G11" s="320" t="str">
        <f>IF(AND(career_stage="HP",teacher_type="R",RHPI[[#This Row],[CO]]="COI/NCOI",RHPI[[#This Row],[Selected]]),VLOOKUP(RHPI[[#This Row],[Strand]],coi_ncoi_select,COLUMNS(coi_ncoi_select),FALSE),RHPI[[#This Row],[CO]])</f>
        <v>COI</v>
      </c>
      <c r="H11" s="323">
        <f>VLOOKUP(RHPI[[#This Row],[Strand]],indSelect_RHP,6,FALSE)</f>
        <v>0</v>
      </c>
      <c r="I11" s="320" t="str">
        <f>IFERROR(IF(AND(RHPI[[#This Row],[Selected]],RHPI[[#This Row],[CO]]="COI/NCOI"),VLOOKUP(RHPI[[#This Row],[Strand]],indSelect_RHP,9,FALSE),RHPI[[#This Row],[CO]]),RHPI[[#This Row],[CO]])</f>
        <v>COI</v>
      </c>
      <c r="J11" s="327" t="b">
        <f>IF(AND(required_cot&gt;=1,RHPI[[#This Row],[Selected]]),VLOOKUP(RHPI[[#This Row],[Strand]],indSelect_RHP,10,FALSE)=1,FALSE)</f>
        <v>0</v>
      </c>
      <c r="K11" s="327" t="b">
        <f>IF(AND(required_cot&gt;=2,RHPI[[#This Row],[Selected]]),VLOOKUP(RHPI[[#This Row],[Strand]],indSelect_RHP,11,FALSE)=1,FALSE)</f>
        <v>0</v>
      </c>
      <c r="L11" s="327" t="b">
        <f>IF(AND(required_cot&gt;=3,RHPI[[#This Row],[Selected]]),VLOOKUP(RHPI[[#This Row],[Strand]],indSelect_RHP,12,FALSE)=1,FALSE)</f>
        <v>0</v>
      </c>
      <c r="M11" s="327" t="b">
        <f>IF(AND(required_cot&gt;=4,RHPI[[#This Row],[Selected]]),VLOOKUP(RHPI[[#This Row],[Strand]],indSelect_RHP,13,FALSE)=1,FALSE)</f>
        <v>0</v>
      </c>
    </row>
    <row r="12" spans="1:13" ht="73.349999999999994" customHeight="1" x14ac:dyDescent="0.25">
      <c r="A12" s="22" t="s">
        <v>1520</v>
      </c>
      <c r="B12" s="19" t="s">
        <v>1521</v>
      </c>
      <c r="C12" s="13">
        <v>2</v>
      </c>
      <c r="D12" s="320" t="str">
        <f>IFERROR(IF(AND(COUNTIF(RHPS[helper],RHPI[[#This Row],[Strand]]&amp;"-Q-COI")&gt;0,COUNTIF(RHPS[helper],RHPI[[#This Row],[Strand]]&amp;"-Q-NCOI")&gt;0),"COI/NCOI",IF(COUNTIF(RHPS[helper],RHPI[[#This Row],[Strand]]&amp;"-Q-COI")&gt;0,"COI",IF(COUNTIF(RHPS[helper],RHPI[[#This Row],[Strand]]&amp;"-Q-NCOI")&gt;0,"NCOI",""))),"")</f>
        <v>NCOI</v>
      </c>
      <c r="E12" s="13">
        <v>3</v>
      </c>
      <c r="F12" s="327" t="b">
        <f>VLOOKUP(RHPI[[#This Row],[Strand]],indSelect_RHP,7,FALSE)</f>
        <v>0</v>
      </c>
      <c r="G12" s="320" t="str">
        <f>IF(AND(career_stage="HP",teacher_type="R",RHPI[[#This Row],[CO]]="COI/NCOI",RHPI[[#This Row],[Selected]]),VLOOKUP(RHPI[[#This Row],[Strand]],coi_ncoi_select,COLUMNS(coi_ncoi_select),FALSE),RHPI[[#This Row],[CO]])</f>
        <v>NCOI</v>
      </c>
      <c r="H12" s="323">
        <f>VLOOKUP(RHPI[[#This Row],[Strand]],indSelect_RHP,6,FALSE)</f>
        <v>0</v>
      </c>
      <c r="I12" s="320" t="str">
        <f>IFERROR(IF(AND(RHPI[[#This Row],[Selected]],RHPI[[#This Row],[CO]]="COI/NCOI"),VLOOKUP(RHPI[[#This Row],[Strand]],indSelect_RHP,9,FALSE),RHPI[[#This Row],[CO]]),RHPI[[#This Row],[CO]])</f>
        <v>NCOI</v>
      </c>
      <c r="J12" s="327" t="b">
        <f>IF(AND(required_cot&gt;=1,RHPI[[#This Row],[Selected]]),VLOOKUP(RHPI[[#This Row],[Strand]],indSelect_RHP,10,FALSE)=1,FALSE)</f>
        <v>0</v>
      </c>
      <c r="K12" s="327" t="b">
        <f>IF(AND(required_cot&gt;=2,RHPI[[#This Row],[Selected]]),VLOOKUP(RHPI[[#This Row],[Strand]],indSelect_RHP,11,FALSE)=1,FALSE)</f>
        <v>0</v>
      </c>
      <c r="L12" s="327" t="b">
        <f>IF(AND(required_cot&gt;=3,RHPI[[#This Row],[Selected]]),VLOOKUP(RHPI[[#This Row],[Strand]],indSelect_RHP,12,FALSE)=1,FALSE)</f>
        <v>0</v>
      </c>
      <c r="M12" s="327" t="b">
        <f>IF(AND(required_cot&gt;=4,RHPI[[#This Row],[Selected]]),VLOOKUP(RHPI[[#This Row],[Strand]],indSelect_RHP,13,FALSE)=1,FALSE)</f>
        <v>0</v>
      </c>
    </row>
    <row r="13" spans="1:13" ht="75" x14ac:dyDescent="0.25">
      <c r="A13" s="22" t="s">
        <v>1522</v>
      </c>
      <c r="B13" s="19" t="s">
        <v>1523</v>
      </c>
      <c r="C13" s="13">
        <v>2</v>
      </c>
      <c r="D13" s="320" t="str">
        <f>IFERROR(IF(AND(COUNTIF(RHPS[helper],RHPI[[#This Row],[Strand]]&amp;"-Q-COI")&gt;0,COUNTIF(RHPS[helper],RHPI[[#This Row],[Strand]]&amp;"-Q-NCOI")&gt;0),"COI/NCOI",IF(COUNTIF(RHPS[helper],RHPI[[#This Row],[Strand]]&amp;"-Q-COI")&gt;0,"COI",IF(COUNTIF(RHPS[helper],RHPI[[#This Row],[Strand]]&amp;"-Q-NCOI")&gt;0,"NCOI",""))),"")</f>
        <v>NCOI</v>
      </c>
      <c r="E13" s="13">
        <v>3</v>
      </c>
      <c r="F13" s="327" t="b">
        <f>VLOOKUP(RHPI[[#This Row],[Strand]],indSelect_RHP,7,FALSE)</f>
        <v>0</v>
      </c>
      <c r="G13" s="320" t="str">
        <f>IF(AND(career_stage="HP",teacher_type="R",RHPI[[#This Row],[CO]]="COI/NCOI",RHPI[[#This Row],[Selected]]),VLOOKUP(RHPI[[#This Row],[Strand]],coi_ncoi_select,COLUMNS(coi_ncoi_select),FALSE),RHPI[[#This Row],[CO]])</f>
        <v>NCOI</v>
      </c>
      <c r="H13" s="323">
        <f>VLOOKUP(RHPI[[#This Row],[Strand]],indSelect_RHP,6,FALSE)</f>
        <v>0</v>
      </c>
      <c r="I13" s="320" t="str">
        <f>IFERROR(IF(AND(RHPI[[#This Row],[Selected]],RHPI[[#This Row],[CO]]="COI/NCOI"),VLOOKUP(RHPI[[#This Row],[Strand]],indSelect_RHP,9,FALSE),RHPI[[#This Row],[CO]]),RHPI[[#This Row],[CO]])</f>
        <v>NCOI</v>
      </c>
      <c r="J13" s="327" t="b">
        <f>IF(AND(required_cot&gt;=1,RHPI[[#This Row],[Selected]]),VLOOKUP(RHPI[[#This Row],[Strand]],indSelect_RHP,10,FALSE)=1,FALSE)</f>
        <v>0</v>
      </c>
      <c r="K13" s="327" t="b">
        <f>IF(AND(required_cot&gt;=2,RHPI[[#This Row],[Selected]]),VLOOKUP(RHPI[[#This Row],[Strand]],indSelect_RHP,11,FALSE)=1,FALSE)</f>
        <v>0</v>
      </c>
      <c r="L13" s="327" t="b">
        <f>IF(AND(required_cot&gt;=3,RHPI[[#This Row],[Selected]]),VLOOKUP(RHPI[[#This Row],[Strand]],indSelect_RHP,12,FALSE)=1,FALSE)</f>
        <v>0</v>
      </c>
      <c r="M13" s="327" t="b">
        <f>IF(AND(required_cot&gt;=4,RHPI[[#This Row],[Selected]]),VLOOKUP(RHPI[[#This Row],[Strand]],indSelect_RHP,13,FALSE)=1,FALSE)</f>
        <v>0</v>
      </c>
    </row>
    <row r="14" spans="1:13" ht="60" x14ac:dyDescent="0.25">
      <c r="A14" s="22" t="s">
        <v>1524</v>
      </c>
      <c r="B14" s="18" t="s">
        <v>1525</v>
      </c>
      <c r="C14" s="13">
        <v>2</v>
      </c>
      <c r="D14" s="320" t="str">
        <f>IFERROR(IF(AND(COUNTIF(RHPS[helper],RHPI[[#This Row],[Strand]]&amp;"-Q-COI")&gt;0,COUNTIF(RHPS[helper],RHPI[[#This Row],[Strand]]&amp;"-Q-NCOI")&gt;0),"COI/NCOI",IF(COUNTIF(RHPS[helper],RHPI[[#This Row],[Strand]]&amp;"-Q-COI")&gt;0,"COI",IF(COUNTIF(RHPS[helper],RHPI[[#This Row],[Strand]]&amp;"-Q-NCOI")&gt;0,"NCOI",""))),"")</f>
        <v>COI</v>
      </c>
      <c r="E14" s="13">
        <v>1</v>
      </c>
      <c r="F14" s="327" t="b">
        <f>VLOOKUP(RHPI[[#This Row],[Strand]],indSelect_RHP,7,FALSE)</f>
        <v>0</v>
      </c>
      <c r="G14" s="320" t="str">
        <f>IF(AND(career_stage="HP",teacher_type="R",RHPI[[#This Row],[CO]]="COI/NCOI",RHPI[[#This Row],[Selected]]),VLOOKUP(RHPI[[#This Row],[Strand]],coi_ncoi_select,COLUMNS(coi_ncoi_select),FALSE),RHPI[[#This Row],[CO]])</f>
        <v>COI</v>
      </c>
      <c r="H14" s="323">
        <f>VLOOKUP(RHPI[[#This Row],[Strand]],indSelect_RHP,6,FALSE)</f>
        <v>0</v>
      </c>
      <c r="I14" s="320" t="str">
        <f>IFERROR(IF(AND(RHPI[[#This Row],[Selected]],RHPI[[#This Row],[CO]]="COI/NCOI"),VLOOKUP(RHPI[[#This Row],[Strand]],indSelect_RHP,9,FALSE),RHPI[[#This Row],[CO]]),RHPI[[#This Row],[CO]])</f>
        <v>COI</v>
      </c>
      <c r="J14" s="327" t="b">
        <f>IF(AND(required_cot&gt;=1,RHPI[[#This Row],[Selected]]),VLOOKUP(RHPI[[#This Row],[Strand]],indSelect_RHP,10,FALSE)=1,FALSE)</f>
        <v>0</v>
      </c>
      <c r="K14" s="327" t="b">
        <f>IF(AND(required_cot&gt;=2,RHPI[[#This Row],[Selected]]),VLOOKUP(RHPI[[#This Row],[Strand]],indSelect_RHP,11,FALSE)=1,FALSE)</f>
        <v>0</v>
      </c>
      <c r="L14" s="327" t="b">
        <f>IF(AND(required_cot&gt;=3,RHPI[[#This Row],[Selected]]),VLOOKUP(RHPI[[#This Row],[Strand]],indSelect_RHP,12,FALSE)=1,FALSE)</f>
        <v>0</v>
      </c>
      <c r="M14" s="327" t="b">
        <f>IF(AND(required_cot&gt;=4,RHPI[[#This Row],[Selected]]),VLOOKUP(RHPI[[#This Row],[Strand]],indSelect_RHP,13,FALSE)=1,FALSE)</f>
        <v>0</v>
      </c>
    </row>
    <row r="15" spans="1:13" ht="60" x14ac:dyDescent="0.25">
      <c r="A15" s="22" t="s">
        <v>1526</v>
      </c>
      <c r="B15" s="18" t="s">
        <v>1527</v>
      </c>
      <c r="C15" s="13">
        <v>2</v>
      </c>
      <c r="D15" s="320" t="str">
        <f>IFERROR(IF(AND(COUNTIF(RHPS[helper],RHPI[[#This Row],[Strand]]&amp;"-Q-COI")&gt;0,COUNTIF(RHPS[helper],RHPI[[#This Row],[Strand]]&amp;"-Q-NCOI")&gt;0),"COI/NCOI",IF(COUNTIF(RHPS[helper],RHPI[[#This Row],[Strand]]&amp;"-Q-COI")&gt;0,"COI",IF(COUNTIF(RHPS[helper],RHPI[[#This Row],[Strand]]&amp;"-Q-NCOI")&gt;0,"NCOI",""))),"")</f>
        <v>COI</v>
      </c>
      <c r="E15" s="13">
        <v>1</v>
      </c>
      <c r="F15" s="327" t="b">
        <f>VLOOKUP(RHPI[[#This Row],[Strand]],indSelect_RHP,7,FALSE)</f>
        <v>0</v>
      </c>
      <c r="G15" s="320" t="str">
        <f>IF(AND(career_stage="HP",teacher_type="R",RHPI[[#This Row],[CO]]="COI/NCOI",RHPI[[#This Row],[Selected]]),VLOOKUP(RHPI[[#This Row],[Strand]],coi_ncoi_select,COLUMNS(coi_ncoi_select),FALSE),RHPI[[#This Row],[CO]])</f>
        <v>COI</v>
      </c>
      <c r="H15" s="323">
        <f>VLOOKUP(RHPI[[#This Row],[Strand]],indSelect_RHP,6,FALSE)</f>
        <v>0</v>
      </c>
      <c r="I15" s="320" t="str">
        <f>IFERROR(IF(AND(RHPI[[#This Row],[Selected]],RHPI[[#This Row],[CO]]="COI/NCOI"),VLOOKUP(RHPI[[#This Row],[Strand]],indSelect_RHP,9,FALSE),RHPI[[#This Row],[CO]]),RHPI[[#This Row],[CO]])</f>
        <v>COI</v>
      </c>
      <c r="J15" s="327" t="b">
        <f>IF(AND(required_cot&gt;=1,RHPI[[#This Row],[Selected]]),VLOOKUP(RHPI[[#This Row],[Strand]],indSelect_RHP,10,FALSE)=1,FALSE)</f>
        <v>0</v>
      </c>
      <c r="K15" s="327" t="b">
        <f>IF(AND(required_cot&gt;=2,RHPI[[#This Row],[Selected]]),VLOOKUP(RHPI[[#This Row],[Strand]],indSelect_RHP,11,FALSE)=1,FALSE)</f>
        <v>0</v>
      </c>
      <c r="L15" s="327" t="b">
        <f>IF(AND(required_cot&gt;=3,RHPI[[#This Row],[Selected]]),VLOOKUP(RHPI[[#This Row],[Strand]],indSelect_RHP,12,FALSE)=1,FALSE)</f>
        <v>0</v>
      </c>
      <c r="M15" s="327" t="b">
        <f>IF(AND(required_cot&gt;=4,RHPI[[#This Row],[Selected]]),VLOOKUP(RHPI[[#This Row],[Strand]],indSelect_RHP,13,FALSE)=1,FALSE)</f>
        <v>0</v>
      </c>
    </row>
    <row r="16" spans="1:13" s="2" customFormat="1" ht="75" x14ac:dyDescent="0.25">
      <c r="A16" s="22" t="s">
        <v>1528</v>
      </c>
      <c r="B16" s="19" t="s">
        <v>1529</v>
      </c>
      <c r="C16" s="13">
        <v>2</v>
      </c>
      <c r="D16" s="320" t="str">
        <f>IFERROR(IF(AND(COUNTIF(RHPS[helper],RHPI[[#This Row],[Strand]]&amp;"-Q-COI")&gt;0,COUNTIF(RHPS[helper],RHPI[[#This Row],[Strand]]&amp;"-Q-NCOI")&gt;0),"COI/NCOI",IF(COUNTIF(RHPS[helper],RHPI[[#This Row],[Strand]]&amp;"-Q-COI")&gt;0,"COI",IF(COUNTIF(RHPS[helper],RHPI[[#This Row],[Strand]]&amp;"-Q-NCOI")&gt;0,"NCOI",""))),"")</f>
        <v>COI</v>
      </c>
      <c r="E16" s="13">
        <v>1</v>
      </c>
      <c r="F16" s="328" t="b">
        <f>VLOOKUP(RHPI[[#This Row],[Strand]],indSelect_RHP,7,FALSE)</f>
        <v>1</v>
      </c>
      <c r="G16" s="329" t="str">
        <f>IF(AND(career_stage="HP",teacher_type="R",RHPI[[#This Row],[CO]]="COI/NCOI",RHPI[[#This Row],[Selected]]),VLOOKUP(RHPI[[#This Row],[Strand]],coi_ncoi_select,COLUMNS(coi_ncoi_select),FALSE),RHPI[[#This Row],[CO]])</f>
        <v>COI</v>
      </c>
      <c r="H16" s="330">
        <f>VLOOKUP(RHPI[[#This Row],[Strand]],indSelect_RHP,6,FALSE)</f>
        <v>7.0000000000000007E-2</v>
      </c>
      <c r="I16" s="329" t="str">
        <f>IFERROR(IF(AND(RHPI[[#This Row],[Selected]],RHPI[[#This Row],[CO]]="COI/NCOI"),VLOOKUP(RHPI[[#This Row],[Strand]],indSelect_RHP,9,FALSE),RHPI[[#This Row],[CO]]),RHPI[[#This Row],[CO]])</f>
        <v>COI</v>
      </c>
      <c r="J16" s="328" t="b">
        <f>IF(AND(required_cot&gt;=1,RHPI[[#This Row],[Selected]]),VLOOKUP(RHPI[[#This Row],[Strand]],indSelect_RHP,10,FALSE)=1,FALSE)</f>
        <v>0</v>
      </c>
      <c r="K16" s="328" t="b">
        <f>IF(AND(required_cot&gt;=2,RHPI[[#This Row],[Selected]]),VLOOKUP(RHPI[[#This Row],[Strand]],indSelect_RHP,11,FALSE)=1,FALSE)</f>
        <v>1</v>
      </c>
      <c r="L16" s="328" t="b">
        <f>IF(AND(required_cot&gt;=3,RHPI[[#This Row],[Selected]]),VLOOKUP(RHPI[[#This Row],[Strand]],indSelect_RHP,12,FALSE)=1,FALSE)</f>
        <v>0</v>
      </c>
      <c r="M16" s="328" t="b">
        <f>IF(AND(required_cot&gt;=4,RHPI[[#This Row],[Selected]]),VLOOKUP(RHPI[[#This Row],[Strand]],indSelect_RHP,13,FALSE)=1,FALSE)</f>
        <v>1</v>
      </c>
    </row>
    <row r="17" spans="1:13" ht="60" x14ac:dyDescent="0.25">
      <c r="A17" s="22" t="s">
        <v>1530</v>
      </c>
      <c r="B17" s="18" t="s">
        <v>1531</v>
      </c>
      <c r="C17" s="13">
        <v>2</v>
      </c>
      <c r="D17" s="320" t="str">
        <f>IFERROR(IF(AND(COUNTIF(RHPS[helper],RHPI[[#This Row],[Strand]]&amp;"-Q-COI")&gt;0,COUNTIF(RHPS[helper],RHPI[[#This Row],[Strand]]&amp;"-Q-NCOI")&gt;0),"COI/NCOI",IF(COUNTIF(RHPS[helper],RHPI[[#This Row],[Strand]]&amp;"-Q-COI")&gt;0,"COI",IF(COUNTIF(RHPS[helper],RHPI[[#This Row],[Strand]]&amp;"-Q-NCOI")&gt;0,"NCOI",""))),"")</f>
        <v>COI/NCOI</v>
      </c>
      <c r="E17" s="13">
        <v>3</v>
      </c>
      <c r="F17" s="327" t="b">
        <f>VLOOKUP(RHPI[[#This Row],[Strand]],indSelect_RHP,7,FALSE)</f>
        <v>0</v>
      </c>
      <c r="G17" s="320" t="str">
        <f>IF(AND(career_stage="HP",teacher_type="R",RHPI[[#This Row],[CO]]="COI/NCOI",RHPI[[#This Row],[Selected]]),VLOOKUP(RHPI[[#This Row],[Strand]],coi_ncoi_select,COLUMNS(coi_ncoi_select),FALSE),RHPI[[#This Row],[CO]])</f>
        <v>COI/NCOI</v>
      </c>
      <c r="H17" s="323">
        <f>VLOOKUP(RHPI[[#This Row],[Strand]],indSelect_RHP,6,FALSE)</f>
        <v>0</v>
      </c>
      <c r="I17" s="320" t="str">
        <f>IFERROR(IF(AND(RHPI[[#This Row],[Selected]],RHPI[[#This Row],[CO]]="COI/NCOI"),VLOOKUP(RHPI[[#This Row],[Strand]],indSelect_RHP,9,FALSE),RHPI[[#This Row],[CO]]),RHPI[[#This Row],[CO]])</f>
        <v>COI/NCOI</v>
      </c>
      <c r="J17" s="327" t="b">
        <f>IF(AND(required_cot&gt;=1,RHPI[[#This Row],[Selected]]),VLOOKUP(RHPI[[#This Row],[Strand]],indSelect_RHP,10,FALSE)=1,FALSE)</f>
        <v>0</v>
      </c>
      <c r="K17" s="327" t="b">
        <f>IF(AND(required_cot&gt;=2,RHPI[[#This Row],[Selected]]),VLOOKUP(RHPI[[#This Row],[Strand]],indSelect_RHP,11,FALSE)=1,FALSE)</f>
        <v>0</v>
      </c>
      <c r="L17" s="327" t="b">
        <f>IF(AND(required_cot&gt;=3,RHPI[[#This Row],[Selected]]),VLOOKUP(RHPI[[#This Row],[Strand]],indSelect_RHP,12,FALSE)=1,FALSE)</f>
        <v>0</v>
      </c>
      <c r="M17" s="327" t="b">
        <f>IF(AND(required_cot&gt;=4,RHPI[[#This Row],[Selected]]),VLOOKUP(RHPI[[#This Row],[Strand]],indSelect_RHP,13,FALSE)=1,FALSE)</f>
        <v>0</v>
      </c>
    </row>
    <row r="18" spans="1:13" ht="105" x14ac:dyDescent="0.25">
      <c r="A18" s="22" t="s">
        <v>1532</v>
      </c>
      <c r="B18" s="19" t="s">
        <v>1533</v>
      </c>
      <c r="C18" s="13">
        <v>2</v>
      </c>
      <c r="D18" s="320" t="str">
        <f>IFERROR(IF(AND(COUNTIF(RHPS[helper],RHPI[[#This Row],[Strand]]&amp;"-Q-COI")&gt;0,COUNTIF(RHPS[helper],RHPI[[#This Row],[Strand]]&amp;"-Q-NCOI")&gt;0),"COI/NCOI",IF(COUNTIF(RHPS[helper],RHPI[[#This Row],[Strand]]&amp;"-Q-COI")&gt;0,"COI",IF(COUNTIF(RHPS[helper],RHPI[[#This Row],[Strand]]&amp;"-Q-NCOI")&gt;0,"NCOI",""))),"")</f>
        <v>COI</v>
      </c>
      <c r="E18" s="13">
        <v>2</v>
      </c>
      <c r="F18" s="327" t="b">
        <f>VLOOKUP(RHPI[[#This Row],[Strand]],indSelect_RHP,7,FALSE)</f>
        <v>0</v>
      </c>
      <c r="G18" s="320" t="str">
        <f>IF(AND(career_stage="HP",teacher_type="R",RHPI[[#This Row],[CO]]="COI/NCOI",RHPI[[#This Row],[Selected]]),VLOOKUP(RHPI[[#This Row],[Strand]],coi_ncoi_select,COLUMNS(coi_ncoi_select),FALSE),RHPI[[#This Row],[CO]])</f>
        <v>COI</v>
      </c>
      <c r="H18" s="323">
        <f>VLOOKUP(RHPI[[#This Row],[Strand]],indSelect_RHP,6,FALSE)</f>
        <v>0</v>
      </c>
      <c r="I18" s="320" t="str">
        <f>IFERROR(IF(AND(RHPI[[#This Row],[Selected]],RHPI[[#This Row],[CO]]="COI/NCOI"),VLOOKUP(RHPI[[#This Row],[Strand]],indSelect_RHP,9,FALSE),RHPI[[#This Row],[CO]]),RHPI[[#This Row],[CO]])</f>
        <v>COI</v>
      </c>
      <c r="J18" s="327" t="b">
        <f>IF(AND(required_cot&gt;=1,RHPI[[#This Row],[Selected]]),VLOOKUP(RHPI[[#This Row],[Strand]],indSelect_RHP,10,FALSE)=1,FALSE)</f>
        <v>0</v>
      </c>
      <c r="K18" s="327" t="b">
        <f>IF(AND(required_cot&gt;=2,RHPI[[#This Row],[Selected]]),VLOOKUP(RHPI[[#This Row],[Strand]],indSelect_RHP,11,FALSE)=1,FALSE)</f>
        <v>0</v>
      </c>
      <c r="L18" s="327" t="b">
        <f>IF(AND(required_cot&gt;=3,RHPI[[#This Row],[Selected]]),VLOOKUP(RHPI[[#This Row],[Strand]],indSelect_RHP,12,FALSE)=1,FALSE)</f>
        <v>0</v>
      </c>
      <c r="M18" s="327" t="b">
        <f>IF(AND(required_cot&gt;=4,RHPI[[#This Row],[Selected]]),VLOOKUP(RHPI[[#This Row],[Strand]],indSelect_RHP,13,FALSE)=1,FALSE)</f>
        <v>0</v>
      </c>
    </row>
    <row r="19" spans="1:13" ht="45" x14ac:dyDescent="0.25">
      <c r="A19" s="22" t="s">
        <v>1534</v>
      </c>
      <c r="B19" s="18" t="s">
        <v>1535</v>
      </c>
      <c r="C19" s="13">
        <v>2</v>
      </c>
      <c r="D19" s="320" t="str">
        <f>IFERROR(IF(AND(COUNTIF(RHPS[helper],RHPI[[#This Row],[Strand]]&amp;"-Q-COI")&gt;0,COUNTIF(RHPS[helper],RHPI[[#This Row],[Strand]]&amp;"-Q-NCOI")&gt;0),"COI/NCOI",IF(COUNTIF(RHPS[helper],RHPI[[#This Row],[Strand]]&amp;"-Q-COI")&gt;0,"COI",IF(COUNTIF(RHPS[helper],RHPI[[#This Row],[Strand]]&amp;"-Q-NCOI")&gt;0,"NCOI",""))),"")</f>
        <v>COI</v>
      </c>
      <c r="E19" s="13">
        <v>3</v>
      </c>
      <c r="F19" s="327" t="b">
        <f>VLOOKUP(RHPI[[#This Row],[Strand]],indSelect_RHP,7,FALSE)</f>
        <v>1</v>
      </c>
      <c r="G19" s="320" t="str">
        <f>IF(AND(career_stage="HP",teacher_type="R",RHPI[[#This Row],[CO]]="COI/NCOI",RHPI[[#This Row],[Selected]]),VLOOKUP(RHPI[[#This Row],[Strand]],coi_ncoi_select,COLUMNS(coi_ncoi_select),FALSE),RHPI[[#This Row],[CO]])</f>
        <v>COI</v>
      </c>
      <c r="H19" s="323">
        <f>VLOOKUP(RHPI[[#This Row],[Strand]],indSelect_RHP,6,FALSE)</f>
        <v>7.0000000000000007E-2</v>
      </c>
      <c r="I19" s="320" t="str">
        <f>IFERROR(IF(AND(RHPI[[#This Row],[Selected]],RHPI[[#This Row],[CO]]="COI/NCOI"),VLOOKUP(RHPI[[#This Row],[Strand]],indSelect_RHP,9,FALSE),RHPI[[#This Row],[CO]]),RHPI[[#This Row],[CO]])</f>
        <v>COI</v>
      </c>
      <c r="J19" s="327" t="b">
        <f>IF(AND(required_cot&gt;=1,RHPI[[#This Row],[Selected]]),VLOOKUP(RHPI[[#This Row],[Strand]],indSelect_RHP,10,FALSE)=1,FALSE)</f>
        <v>0</v>
      </c>
      <c r="K19" s="327" t="b">
        <f>IF(AND(required_cot&gt;=2,RHPI[[#This Row],[Selected]]),VLOOKUP(RHPI[[#This Row],[Strand]],indSelect_RHP,11,FALSE)=1,FALSE)</f>
        <v>1</v>
      </c>
      <c r="L19" s="327" t="b">
        <f>IF(AND(required_cot&gt;=3,RHPI[[#This Row],[Selected]]),VLOOKUP(RHPI[[#This Row],[Strand]],indSelect_RHP,12,FALSE)=1,FALSE)</f>
        <v>0</v>
      </c>
      <c r="M19" s="327" t="b">
        <f>IF(AND(required_cot&gt;=4,RHPI[[#This Row],[Selected]]),VLOOKUP(RHPI[[#This Row],[Strand]],indSelect_RHP,13,FALSE)=1,FALSE)</f>
        <v>1</v>
      </c>
    </row>
    <row r="20" spans="1:13" ht="90" x14ac:dyDescent="0.25">
      <c r="A20" s="22" t="s">
        <v>1536</v>
      </c>
      <c r="B20" s="18" t="s">
        <v>1537</v>
      </c>
      <c r="C20" s="13">
        <v>3</v>
      </c>
      <c r="D20" s="320" t="str">
        <f>IFERROR(IF(AND(COUNTIF(RHPS[helper],RHPI[[#This Row],[Strand]]&amp;"-Q-COI")&gt;0,COUNTIF(RHPS[helper],RHPI[[#This Row],[Strand]]&amp;"-Q-NCOI")&gt;0),"COI/NCOI",IF(COUNTIF(RHPS[helper],RHPI[[#This Row],[Strand]]&amp;"-Q-COI")&gt;0,"COI",IF(COUNTIF(RHPS[helper],RHPI[[#This Row],[Strand]]&amp;"-Q-NCOI")&gt;0,"NCOI",""))),"")</f>
        <v>COI</v>
      </c>
      <c r="E20" s="13">
        <v>1</v>
      </c>
      <c r="F20" s="327" t="b">
        <f>VLOOKUP(RHPI[[#This Row],[Strand]],indSelect_RHP,7,FALSE)</f>
        <v>0</v>
      </c>
      <c r="G20" s="320" t="str">
        <f>IF(AND(career_stage="HP",teacher_type="R",RHPI[[#This Row],[CO]]="COI/NCOI",RHPI[[#This Row],[Selected]]),VLOOKUP(RHPI[[#This Row],[Strand]],coi_ncoi_select,COLUMNS(coi_ncoi_select),FALSE),RHPI[[#This Row],[CO]])</f>
        <v>COI</v>
      </c>
      <c r="H20" s="323">
        <f>VLOOKUP(RHPI[[#This Row],[Strand]],indSelect_RHP,6,FALSE)</f>
        <v>0</v>
      </c>
      <c r="I20" s="320" t="str">
        <f>IFERROR(IF(AND(RHPI[[#This Row],[Selected]],RHPI[[#This Row],[CO]]="COI/NCOI"),VLOOKUP(RHPI[[#This Row],[Strand]],indSelect_RHP,9,FALSE),RHPI[[#This Row],[CO]]),RHPI[[#This Row],[CO]])</f>
        <v>COI</v>
      </c>
      <c r="J20" s="327" t="b">
        <f>IF(AND(required_cot&gt;=1,RHPI[[#This Row],[Selected]]),VLOOKUP(RHPI[[#This Row],[Strand]],indSelect_RHP,10,FALSE)=1,FALSE)</f>
        <v>0</v>
      </c>
      <c r="K20" s="327" t="b">
        <f>IF(AND(required_cot&gt;=2,RHPI[[#This Row],[Selected]]),VLOOKUP(RHPI[[#This Row],[Strand]],indSelect_RHP,11,FALSE)=1,FALSE)</f>
        <v>0</v>
      </c>
      <c r="L20" s="327" t="b">
        <f>IF(AND(required_cot&gt;=3,RHPI[[#This Row],[Selected]]),VLOOKUP(RHPI[[#This Row],[Strand]],indSelect_RHP,12,FALSE)=1,FALSE)</f>
        <v>0</v>
      </c>
      <c r="M20" s="327" t="b">
        <f>IF(AND(required_cot&gt;=4,RHPI[[#This Row],[Selected]]),VLOOKUP(RHPI[[#This Row],[Strand]],indSelect_RHP,13,FALSE)=1,FALSE)</f>
        <v>0</v>
      </c>
    </row>
    <row r="21" spans="1:13" ht="60" x14ac:dyDescent="0.25">
      <c r="A21" s="22" t="s">
        <v>1538</v>
      </c>
      <c r="B21" s="19" t="s">
        <v>1539</v>
      </c>
      <c r="C21" s="13">
        <v>3</v>
      </c>
      <c r="D21" s="320" t="str">
        <f>IFERROR(IF(AND(COUNTIF(RHPS[helper],RHPI[[#This Row],[Strand]]&amp;"-Q-COI")&gt;0,COUNTIF(RHPS[helper],RHPI[[#This Row],[Strand]]&amp;"-Q-NCOI")&gt;0),"COI/NCOI",IF(COUNTIF(RHPS[helper],RHPI[[#This Row],[Strand]]&amp;"-Q-COI")&gt;0,"COI",IF(COUNTIF(RHPS[helper],RHPI[[#This Row],[Strand]]&amp;"-Q-NCOI")&gt;0,"NCOI",""))),"")</f>
        <v>NCOI</v>
      </c>
      <c r="E21" s="13">
        <v>2</v>
      </c>
      <c r="F21" s="327" t="b">
        <f>VLOOKUP(RHPI[[#This Row],[Strand]],indSelect_RHP,7,FALSE)</f>
        <v>1</v>
      </c>
      <c r="G21" s="320" t="str">
        <f>IF(AND(career_stage="HP",teacher_type="R",RHPI[[#This Row],[CO]]="COI/NCOI",RHPI[[#This Row],[Selected]]),VLOOKUP(RHPI[[#This Row],[Strand]],coi_ncoi_select,COLUMNS(coi_ncoi_select),FALSE),RHPI[[#This Row],[CO]])</f>
        <v>NCOI</v>
      </c>
      <c r="H21" s="323">
        <f>VLOOKUP(RHPI[[#This Row],[Strand]],indSelect_RHP,6,FALSE)</f>
        <v>7.0000000000000007E-2</v>
      </c>
      <c r="I21" s="320" t="str">
        <f>IFERROR(IF(AND(RHPI[[#This Row],[Selected]],RHPI[[#This Row],[CO]]="COI/NCOI"),VLOOKUP(RHPI[[#This Row],[Strand]],indSelect_RHP,9,FALSE),RHPI[[#This Row],[CO]]),RHPI[[#This Row],[CO]])</f>
        <v>NCOI</v>
      </c>
      <c r="J21" s="327" t="b">
        <f>IF(AND(required_cot&gt;=1,RHPI[[#This Row],[Selected]]),VLOOKUP(RHPI[[#This Row],[Strand]],indSelect_RHP,10,FALSE)=1,FALSE)</f>
        <v>0</v>
      </c>
      <c r="K21" s="327" t="b">
        <f>IF(AND(required_cot&gt;=2,RHPI[[#This Row],[Selected]]),VLOOKUP(RHPI[[#This Row],[Strand]],indSelect_RHP,11,FALSE)=1,FALSE)</f>
        <v>0</v>
      </c>
      <c r="L21" s="327" t="b">
        <f>IF(AND(required_cot&gt;=3,RHPI[[#This Row],[Selected]]),VLOOKUP(RHPI[[#This Row],[Strand]],indSelect_RHP,12,FALSE)=1,FALSE)</f>
        <v>0</v>
      </c>
      <c r="M21" s="327" t="b">
        <f>IF(AND(required_cot&gt;=4,RHPI[[#This Row],[Selected]]),VLOOKUP(RHPI[[#This Row],[Strand]],indSelect_RHP,13,FALSE)=1,FALSE)</f>
        <v>0</v>
      </c>
    </row>
    <row r="22" spans="1:13" ht="60" x14ac:dyDescent="0.25">
      <c r="A22" s="22" t="s">
        <v>1540</v>
      </c>
      <c r="B22" s="19" t="s">
        <v>1541</v>
      </c>
      <c r="C22" s="13">
        <v>3</v>
      </c>
      <c r="D22" s="320" t="str">
        <f>IFERROR(IF(AND(COUNTIF(RHPS[helper],RHPI[[#This Row],[Strand]]&amp;"-Q-COI")&gt;0,COUNTIF(RHPS[helper],RHPI[[#This Row],[Strand]]&amp;"-Q-NCOI")&gt;0),"COI/NCOI",IF(COUNTIF(RHPS[helper],RHPI[[#This Row],[Strand]]&amp;"-Q-COI")&gt;0,"COI",IF(COUNTIF(RHPS[helper],RHPI[[#This Row],[Strand]]&amp;"-Q-NCOI")&gt;0,"NCOI",""))),"")</f>
        <v>NCOI</v>
      </c>
      <c r="E22" s="13">
        <v>3</v>
      </c>
      <c r="F22" s="327" t="b">
        <f>VLOOKUP(RHPI[[#This Row],[Strand]],indSelect_RHP,7,FALSE)</f>
        <v>0</v>
      </c>
      <c r="G22" s="320" t="str">
        <f>IF(AND(career_stage="HP",teacher_type="R",RHPI[[#This Row],[CO]]="COI/NCOI",RHPI[[#This Row],[Selected]]),VLOOKUP(RHPI[[#This Row],[Strand]],coi_ncoi_select,COLUMNS(coi_ncoi_select),FALSE),RHPI[[#This Row],[CO]])</f>
        <v>NCOI</v>
      </c>
      <c r="H22" s="323">
        <f>VLOOKUP(RHPI[[#This Row],[Strand]],indSelect_RHP,6,FALSE)</f>
        <v>0</v>
      </c>
      <c r="I22" s="320" t="str">
        <f>IFERROR(IF(AND(RHPI[[#This Row],[Selected]],RHPI[[#This Row],[CO]]="COI/NCOI"),VLOOKUP(RHPI[[#This Row],[Strand]],indSelect_RHP,9,FALSE),RHPI[[#This Row],[CO]]),RHPI[[#This Row],[CO]])</f>
        <v>NCOI</v>
      </c>
      <c r="J22" s="327" t="b">
        <f>IF(AND(required_cot&gt;=1,RHPI[[#This Row],[Selected]]),VLOOKUP(RHPI[[#This Row],[Strand]],indSelect_RHP,10,FALSE)=1,FALSE)</f>
        <v>0</v>
      </c>
      <c r="K22" s="327" t="b">
        <f>IF(AND(required_cot&gt;=2,RHPI[[#This Row],[Selected]]),VLOOKUP(RHPI[[#This Row],[Strand]],indSelect_RHP,11,FALSE)=1,FALSE)</f>
        <v>0</v>
      </c>
      <c r="L22" s="327" t="b">
        <f>IF(AND(required_cot&gt;=3,RHPI[[#This Row],[Selected]]),VLOOKUP(RHPI[[#This Row],[Strand]],indSelect_RHP,12,FALSE)=1,FALSE)</f>
        <v>0</v>
      </c>
      <c r="M22" s="327" t="b">
        <f>IF(AND(required_cot&gt;=4,RHPI[[#This Row],[Selected]]),VLOOKUP(RHPI[[#This Row],[Strand]],indSelect_RHP,13,FALSE)=1,FALSE)</f>
        <v>0</v>
      </c>
    </row>
    <row r="23" spans="1:13" ht="45" x14ac:dyDescent="0.25">
      <c r="A23" s="22" t="s">
        <v>1542</v>
      </c>
      <c r="B23" s="18" t="s">
        <v>1543</v>
      </c>
      <c r="C23" s="13">
        <v>3</v>
      </c>
      <c r="D23" s="320" t="str">
        <f>IFERROR(IF(AND(COUNTIF(RHPS[helper],RHPI[[#This Row],[Strand]]&amp;"-Q-COI")&gt;0,COUNTIF(RHPS[helper],RHPI[[#This Row],[Strand]]&amp;"-Q-NCOI")&gt;0),"COI/NCOI",IF(COUNTIF(RHPS[helper],RHPI[[#This Row],[Strand]]&amp;"-Q-COI")&gt;0,"COI",IF(COUNTIF(RHPS[helper],RHPI[[#This Row],[Strand]]&amp;"-Q-NCOI")&gt;0,"NCOI",""))),"")</f>
        <v>NCOI</v>
      </c>
      <c r="E23" s="13">
        <v>1</v>
      </c>
      <c r="F23" s="327" t="b">
        <f>VLOOKUP(RHPI[[#This Row],[Strand]],indSelect_RHP,7,FALSE)</f>
        <v>0</v>
      </c>
      <c r="G23" s="320" t="str">
        <f>IF(AND(career_stage="HP",teacher_type="R",RHPI[[#This Row],[CO]]="COI/NCOI",RHPI[[#This Row],[Selected]]),VLOOKUP(RHPI[[#This Row],[Strand]],coi_ncoi_select,COLUMNS(coi_ncoi_select),FALSE),RHPI[[#This Row],[CO]])</f>
        <v>NCOI</v>
      </c>
      <c r="H23" s="323">
        <f>VLOOKUP(RHPI[[#This Row],[Strand]],indSelect_RHP,6,FALSE)</f>
        <v>0</v>
      </c>
      <c r="I23" s="320" t="str">
        <f>IFERROR(IF(AND(RHPI[[#This Row],[Selected]],RHPI[[#This Row],[CO]]="COI/NCOI"),VLOOKUP(RHPI[[#This Row],[Strand]],indSelect_RHP,9,FALSE),RHPI[[#This Row],[CO]]),RHPI[[#This Row],[CO]])</f>
        <v>NCOI</v>
      </c>
      <c r="J23" s="327" t="b">
        <f>IF(AND(required_cot&gt;=1,RHPI[[#This Row],[Selected]]),VLOOKUP(RHPI[[#This Row],[Strand]],indSelect_RHP,10,FALSE)=1,FALSE)</f>
        <v>0</v>
      </c>
      <c r="K23" s="327" t="b">
        <f>IF(AND(required_cot&gt;=2,RHPI[[#This Row],[Selected]]),VLOOKUP(RHPI[[#This Row],[Strand]],indSelect_RHP,11,FALSE)=1,FALSE)</f>
        <v>0</v>
      </c>
      <c r="L23" s="327" t="b">
        <f>IF(AND(required_cot&gt;=3,RHPI[[#This Row],[Selected]]),VLOOKUP(RHPI[[#This Row],[Strand]],indSelect_RHP,12,FALSE)=1,FALSE)</f>
        <v>0</v>
      </c>
      <c r="M23" s="327" t="b">
        <f>IF(AND(required_cot&gt;=4,RHPI[[#This Row],[Selected]]),VLOOKUP(RHPI[[#This Row],[Strand]],indSelect_RHP,13,FALSE)=1,FALSE)</f>
        <v>0</v>
      </c>
    </row>
    <row r="24" spans="1:13" ht="60" x14ac:dyDescent="0.25">
      <c r="A24" s="22" t="s">
        <v>1544</v>
      </c>
      <c r="B24" s="18" t="s">
        <v>1545</v>
      </c>
      <c r="C24" s="13">
        <v>3</v>
      </c>
      <c r="D24" s="320" t="str">
        <f>IFERROR(IF(AND(COUNTIF(RHPS[helper],RHPI[[#This Row],[Strand]]&amp;"-Q-COI")&gt;0,COUNTIF(RHPS[helper],RHPI[[#This Row],[Strand]]&amp;"-Q-NCOI")&gt;0),"COI/NCOI",IF(COUNTIF(RHPS[helper],RHPI[[#This Row],[Strand]]&amp;"-Q-COI")&gt;0,"COI",IF(COUNTIF(RHPS[helper],RHPI[[#This Row],[Strand]]&amp;"-Q-NCOI")&gt;0,"NCOI",""))),"")</f>
        <v>NCOI</v>
      </c>
      <c r="E24" s="13">
        <v>2</v>
      </c>
      <c r="F24" s="327" t="b">
        <f>VLOOKUP(RHPI[[#This Row],[Strand]],indSelect_RHP,7,FALSE)</f>
        <v>0</v>
      </c>
      <c r="G24" s="320" t="str">
        <f>IF(AND(career_stage="HP",teacher_type="R",RHPI[[#This Row],[CO]]="COI/NCOI",RHPI[[#This Row],[Selected]]),VLOOKUP(RHPI[[#This Row],[Strand]],coi_ncoi_select,COLUMNS(coi_ncoi_select),FALSE),RHPI[[#This Row],[CO]])</f>
        <v>NCOI</v>
      </c>
      <c r="H24" s="323">
        <f>VLOOKUP(RHPI[[#This Row],[Strand]],indSelect_RHP,6,FALSE)</f>
        <v>0</v>
      </c>
      <c r="I24" s="320" t="str">
        <f>IFERROR(IF(AND(RHPI[[#This Row],[Selected]],RHPI[[#This Row],[CO]]="COI/NCOI"),VLOOKUP(RHPI[[#This Row],[Strand]],indSelect_RHP,9,FALSE),RHPI[[#This Row],[CO]]),RHPI[[#This Row],[CO]])</f>
        <v>NCOI</v>
      </c>
      <c r="J24" s="327" t="b">
        <f>IF(AND(required_cot&gt;=1,RHPI[[#This Row],[Selected]]),VLOOKUP(RHPI[[#This Row],[Strand]],indSelect_RHP,10,FALSE)=1,FALSE)</f>
        <v>0</v>
      </c>
      <c r="K24" s="327" t="b">
        <f>IF(AND(required_cot&gt;=2,RHPI[[#This Row],[Selected]]),VLOOKUP(RHPI[[#This Row],[Strand]],indSelect_RHP,11,FALSE)=1,FALSE)</f>
        <v>0</v>
      </c>
      <c r="L24" s="327" t="b">
        <f>IF(AND(required_cot&gt;=3,RHPI[[#This Row],[Selected]]),VLOOKUP(RHPI[[#This Row],[Strand]],indSelect_RHP,12,FALSE)=1,FALSE)</f>
        <v>0</v>
      </c>
      <c r="M24" s="327" t="b">
        <f>IF(AND(required_cot&gt;=4,RHPI[[#This Row],[Selected]]),VLOOKUP(RHPI[[#This Row],[Strand]],indSelect_RHP,13,FALSE)=1,FALSE)</f>
        <v>0</v>
      </c>
    </row>
    <row r="25" spans="1:13" ht="75" x14ac:dyDescent="0.25">
      <c r="A25" s="22" t="s">
        <v>1546</v>
      </c>
      <c r="B25" s="18" t="s">
        <v>1547</v>
      </c>
      <c r="C25" s="13">
        <v>4</v>
      </c>
      <c r="D25" s="320" t="str">
        <f>IFERROR(IF(AND(COUNTIF(RHPS[helper],RHPI[[#This Row],[Strand]]&amp;"-Q-COI")&gt;0,COUNTIF(RHPS[helper],RHPI[[#This Row],[Strand]]&amp;"-Q-NCOI")&gt;0),"COI/NCOI",IF(COUNTIF(RHPS[helper],RHPI[[#This Row],[Strand]]&amp;"-Q-COI")&gt;0,"COI",IF(COUNTIF(RHPS[helper],RHPI[[#This Row],[Strand]]&amp;"-Q-NCOI")&gt;0,"NCOI",""))),"")</f>
        <v>NCOI</v>
      </c>
      <c r="E25" s="13">
        <v>1</v>
      </c>
      <c r="F25" s="327" t="b">
        <f>VLOOKUP(RHPI[[#This Row],[Strand]],indSelect_RHP,7,FALSE)</f>
        <v>0</v>
      </c>
      <c r="G25" s="320" t="str">
        <f>IF(AND(career_stage="HP",teacher_type="R",RHPI[[#This Row],[CO]]="COI/NCOI",RHPI[[#This Row],[Selected]]),VLOOKUP(RHPI[[#This Row],[Strand]],coi_ncoi_select,COLUMNS(coi_ncoi_select),FALSE),RHPI[[#This Row],[CO]])</f>
        <v>NCOI</v>
      </c>
      <c r="H25" s="323">
        <f>VLOOKUP(RHPI[[#This Row],[Strand]],indSelect_RHP,6,FALSE)</f>
        <v>0</v>
      </c>
      <c r="I25" s="320" t="str">
        <f>IFERROR(IF(AND(RHPI[[#This Row],[Selected]],RHPI[[#This Row],[CO]]="COI/NCOI"),VLOOKUP(RHPI[[#This Row],[Strand]],indSelect_RHP,9,FALSE),RHPI[[#This Row],[CO]]),RHPI[[#This Row],[CO]])</f>
        <v>NCOI</v>
      </c>
      <c r="J25" s="327" t="b">
        <f>IF(AND(required_cot&gt;=1,RHPI[[#This Row],[Selected]]),VLOOKUP(RHPI[[#This Row],[Strand]],indSelect_RHP,10,FALSE)=1,FALSE)</f>
        <v>0</v>
      </c>
      <c r="K25" s="327" t="b">
        <f>IF(AND(required_cot&gt;=2,RHPI[[#This Row],[Selected]]),VLOOKUP(RHPI[[#This Row],[Strand]],indSelect_RHP,11,FALSE)=1,FALSE)</f>
        <v>0</v>
      </c>
      <c r="L25" s="327" t="b">
        <f>IF(AND(required_cot&gt;=3,RHPI[[#This Row],[Selected]]),VLOOKUP(RHPI[[#This Row],[Strand]],indSelect_RHP,12,FALSE)=1,FALSE)</f>
        <v>0</v>
      </c>
      <c r="M25" s="327" t="b">
        <f>IF(AND(required_cot&gt;=4,RHPI[[#This Row],[Selected]]),VLOOKUP(RHPI[[#This Row],[Strand]],indSelect_RHP,13,FALSE)=1,FALSE)</f>
        <v>0</v>
      </c>
    </row>
    <row r="26" spans="1:13" ht="45" x14ac:dyDescent="0.25">
      <c r="A26" s="22" t="s">
        <v>1548</v>
      </c>
      <c r="B26" s="18" t="s">
        <v>1549</v>
      </c>
      <c r="C26" s="13">
        <v>4</v>
      </c>
      <c r="D26" s="320" t="str">
        <f>IFERROR(IF(AND(COUNTIF(RHPS[helper],RHPI[[#This Row],[Strand]]&amp;"-Q-COI")&gt;0,COUNTIF(RHPS[helper],RHPI[[#This Row],[Strand]]&amp;"-Q-NCOI")&gt;0),"COI/NCOI",IF(COUNTIF(RHPS[helper],RHPI[[#This Row],[Strand]]&amp;"-Q-COI")&gt;0,"COI",IF(COUNTIF(RHPS[helper],RHPI[[#This Row],[Strand]]&amp;"-Q-NCOI")&gt;0,"NCOI",""))),"")</f>
        <v>NCOI</v>
      </c>
      <c r="E26" s="13">
        <v>1</v>
      </c>
      <c r="F26" s="327" t="b">
        <f>VLOOKUP(RHPI[[#This Row],[Strand]],indSelect_RHP,7,FALSE)</f>
        <v>0</v>
      </c>
      <c r="G26" s="320" t="str">
        <f>IF(AND(career_stage="HP",teacher_type="R",RHPI[[#This Row],[CO]]="COI/NCOI",RHPI[[#This Row],[Selected]]),VLOOKUP(RHPI[[#This Row],[Strand]],coi_ncoi_select,COLUMNS(coi_ncoi_select),FALSE),RHPI[[#This Row],[CO]])</f>
        <v>NCOI</v>
      </c>
      <c r="H26" s="323">
        <f>VLOOKUP(RHPI[[#This Row],[Strand]],indSelect_RHP,6,FALSE)</f>
        <v>0</v>
      </c>
      <c r="I26" s="320" t="str">
        <f>IFERROR(IF(AND(RHPI[[#This Row],[Selected]],RHPI[[#This Row],[CO]]="COI/NCOI"),VLOOKUP(RHPI[[#This Row],[Strand]],indSelect_RHP,9,FALSE),RHPI[[#This Row],[CO]]),RHPI[[#This Row],[CO]])</f>
        <v>NCOI</v>
      </c>
      <c r="J26" s="327" t="b">
        <f>IF(AND(required_cot&gt;=1,RHPI[[#This Row],[Selected]]),VLOOKUP(RHPI[[#This Row],[Strand]],indSelect_RHP,10,FALSE)=1,FALSE)</f>
        <v>0</v>
      </c>
      <c r="K26" s="327" t="b">
        <f>IF(AND(required_cot&gt;=2,RHPI[[#This Row],[Selected]]),VLOOKUP(RHPI[[#This Row],[Strand]],indSelect_RHP,11,FALSE)=1,FALSE)</f>
        <v>0</v>
      </c>
      <c r="L26" s="327" t="b">
        <f>IF(AND(required_cot&gt;=3,RHPI[[#This Row],[Selected]]),VLOOKUP(RHPI[[#This Row],[Strand]],indSelect_RHP,12,FALSE)=1,FALSE)</f>
        <v>0</v>
      </c>
      <c r="M26" s="327" t="b">
        <f>IF(AND(required_cot&gt;=4,RHPI[[#This Row],[Selected]]),VLOOKUP(RHPI[[#This Row],[Strand]],indSelect_RHP,13,FALSE)=1,FALSE)</f>
        <v>0</v>
      </c>
    </row>
    <row r="27" spans="1:13" ht="58.7" customHeight="1" x14ac:dyDescent="0.25">
      <c r="A27" s="22" t="s">
        <v>1550</v>
      </c>
      <c r="B27" s="18" t="s">
        <v>1551</v>
      </c>
      <c r="C27" s="13">
        <v>3</v>
      </c>
      <c r="D27" s="320" t="str">
        <f>IFERROR(IF(AND(COUNTIF(RHPS[helper],RHPI[[#This Row],[Strand]]&amp;"-Q-COI")&gt;0,COUNTIF(RHPS[helper],RHPI[[#This Row],[Strand]]&amp;"-Q-NCOI")&gt;0),"COI/NCOI",IF(COUNTIF(RHPS[helper],RHPI[[#This Row],[Strand]]&amp;"-Q-COI")&gt;0,"COI",IF(COUNTIF(RHPS[helper],RHPI[[#This Row],[Strand]]&amp;"-Q-NCOI")&gt;0,"NCOI",""))),"")</f>
        <v>COI</v>
      </c>
      <c r="E27" s="13">
        <v>2</v>
      </c>
      <c r="F27" s="327" t="b">
        <f>VLOOKUP(RHPI[[#This Row],[Strand]],indSelect_RHP,7,FALSE)</f>
        <v>1</v>
      </c>
      <c r="G27" s="320" t="str">
        <f>IF(AND(career_stage="HP",teacher_type="R",RHPI[[#This Row],[CO]]="COI/NCOI",RHPI[[#This Row],[Selected]]),VLOOKUP(RHPI[[#This Row],[Strand]],coi_ncoi_select,COLUMNS(coi_ncoi_select),FALSE),RHPI[[#This Row],[CO]])</f>
        <v>COI</v>
      </c>
      <c r="H27" s="323">
        <f>VLOOKUP(RHPI[[#This Row],[Strand]],indSelect_RHP,6,FALSE)</f>
        <v>7.0000000000000007E-2</v>
      </c>
      <c r="I27" s="320" t="str">
        <f>IFERROR(IF(AND(RHPI[[#This Row],[Selected]],RHPI[[#This Row],[CO]]="COI/NCOI"),VLOOKUP(RHPI[[#This Row],[Strand]],indSelect_RHP,9,FALSE),RHPI[[#This Row],[CO]]),RHPI[[#This Row],[CO]])</f>
        <v>COI</v>
      </c>
      <c r="J27" s="327" t="b">
        <f>IF(AND(required_cot&gt;=1,RHPI[[#This Row],[Selected]]),VLOOKUP(RHPI[[#This Row],[Strand]],indSelect_RHP,10,FALSE)=1,FALSE)</f>
        <v>0</v>
      </c>
      <c r="K27" s="327" t="b">
        <f>IF(AND(required_cot&gt;=2,RHPI[[#This Row],[Selected]]),VLOOKUP(RHPI[[#This Row],[Strand]],indSelect_RHP,11,FALSE)=1,FALSE)</f>
        <v>1</v>
      </c>
      <c r="L27" s="327" t="b">
        <f>IF(AND(required_cot&gt;=3,RHPI[[#This Row],[Selected]]),VLOOKUP(RHPI[[#This Row],[Strand]],indSelect_RHP,12,FALSE)=1,FALSE)</f>
        <v>0</v>
      </c>
      <c r="M27" s="327" t="b">
        <f>IF(AND(required_cot&gt;=4,RHPI[[#This Row],[Selected]]),VLOOKUP(RHPI[[#This Row],[Strand]],indSelect_RHP,13,FALSE)=1,FALSE)</f>
        <v>1</v>
      </c>
    </row>
    <row r="28" spans="1:13" ht="45" x14ac:dyDescent="0.25">
      <c r="A28" s="22" t="s">
        <v>1552</v>
      </c>
      <c r="B28" s="18" t="s">
        <v>1553</v>
      </c>
      <c r="C28" s="13">
        <v>4</v>
      </c>
      <c r="D28" s="320" t="str">
        <f>IFERROR(IF(AND(COUNTIF(RHPS[helper],RHPI[[#This Row],[Strand]]&amp;"-Q-COI")&gt;0,COUNTIF(RHPS[helper],RHPI[[#This Row],[Strand]]&amp;"-Q-NCOI")&gt;0),"COI/NCOI",IF(COUNTIF(RHPS[helper],RHPI[[#This Row],[Strand]]&amp;"-Q-COI")&gt;0,"COI",IF(COUNTIF(RHPS[helper],RHPI[[#This Row],[Strand]]&amp;"-Q-NCOI")&gt;0,"NCOI",""))),"")</f>
        <v>NCOI</v>
      </c>
      <c r="E28" s="13">
        <v>1</v>
      </c>
      <c r="F28" s="327" t="b">
        <f>VLOOKUP(RHPI[[#This Row],[Strand]],indSelect_RHP,7,FALSE)</f>
        <v>0</v>
      </c>
      <c r="G28" s="320" t="str">
        <f>IF(AND(career_stage="HP",teacher_type="R",RHPI[[#This Row],[CO]]="COI/NCOI",RHPI[[#This Row],[Selected]]),VLOOKUP(RHPI[[#This Row],[Strand]],coi_ncoi_select,COLUMNS(coi_ncoi_select),FALSE),RHPI[[#This Row],[CO]])</f>
        <v>NCOI</v>
      </c>
      <c r="H28" s="323">
        <f>VLOOKUP(RHPI[[#This Row],[Strand]],indSelect_RHP,6,FALSE)</f>
        <v>0</v>
      </c>
      <c r="I28" s="320" t="str">
        <f>IFERROR(IF(AND(RHPI[[#This Row],[Selected]],RHPI[[#This Row],[CO]]="COI/NCOI"),VLOOKUP(RHPI[[#This Row],[Strand]],indSelect_RHP,9,FALSE),RHPI[[#This Row],[CO]]),RHPI[[#This Row],[CO]])</f>
        <v>NCOI</v>
      </c>
      <c r="J28" s="327" t="b">
        <f>IF(AND(required_cot&gt;=1,RHPI[[#This Row],[Selected]]),VLOOKUP(RHPI[[#This Row],[Strand]],indSelect_RHP,10,FALSE)=1,FALSE)</f>
        <v>0</v>
      </c>
      <c r="K28" s="327" t="b">
        <f>IF(AND(required_cot&gt;=2,RHPI[[#This Row],[Selected]]),VLOOKUP(RHPI[[#This Row],[Strand]],indSelect_RHP,11,FALSE)=1,FALSE)</f>
        <v>0</v>
      </c>
      <c r="L28" s="327" t="b">
        <f>IF(AND(required_cot&gt;=3,RHPI[[#This Row],[Selected]]),VLOOKUP(RHPI[[#This Row],[Strand]],indSelect_RHP,12,FALSE)=1,FALSE)</f>
        <v>0</v>
      </c>
      <c r="M28" s="327" t="b">
        <f>IF(AND(required_cot&gt;=4,RHPI[[#This Row],[Selected]]),VLOOKUP(RHPI[[#This Row],[Strand]],indSelect_RHP,13,FALSE)=1,FALSE)</f>
        <v>0</v>
      </c>
    </row>
    <row r="29" spans="1:13" ht="60" x14ac:dyDescent="0.25">
      <c r="A29" s="22" t="s">
        <v>1554</v>
      </c>
      <c r="B29" s="19" t="s">
        <v>1555</v>
      </c>
      <c r="C29" s="13">
        <v>3</v>
      </c>
      <c r="D29" s="320" t="str">
        <f>IFERROR(IF(AND(COUNTIF(RHPS[helper],RHPI[[#This Row],[Strand]]&amp;"-Q-COI")&gt;0,COUNTIF(RHPS[helper],RHPI[[#This Row],[Strand]]&amp;"-Q-NCOI")&gt;0),"COI/NCOI",IF(COUNTIF(RHPS[helper],RHPI[[#This Row],[Strand]]&amp;"-Q-COI")&gt;0,"COI",IF(COUNTIF(RHPS[helper],RHPI[[#This Row],[Strand]]&amp;"-Q-NCOI")&gt;0,"NCOI",""))),"")</f>
        <v>NCOI</v>
      </c>
      <c r="E29" s="13">
        <v>3</v>
      </c>
      <c r="F29" s="327" t="b">
        <f>VLOOKUP(RHPI[[#This Row],[Strand]],indSelect_RHP,7,FALSE)</f>
        <v>1</v>
      </c>
      <c r="G29" s="320" t="str">
        <f>IF(AND(career_stage="HP",teacher_type="R",RHPI[[#This Row],[CO]]="COI/NCOI",RHPI[[#This Row],[Selected]]),VLOOKUP(RHPI[[#This Row],[Strand]],coi_ncoi_select,COLUMNS(coi_ncoi_select),FALSE),RHPI[[#This Row],[CO]])</f>
        <v>NCOI</v>
      </c>
      <c r="H29" s="323">
        <f>VLOOKUP(RHPI[[#This Row],[Strand]],indSelect_RHP,6,FALSE)</f>
        <v>7.0000000000000007E-2</v>
      </c>
      <c r="I29" s="320" t="str">
        <f>IFERROR(IF(AND(RHPI[[#This Row],[Selected]],RHPI[[#This Row],[CO]]="COI/NCOI"),VLOOKUP(RHPI[[#This Row],[Strand]],indSelect_RHP,9,FALSE),RHPI[[#This Row],[CO]]),RHPI[[#This Row],[CO]])</f>
        <v>NCOI</v>
      </c>
      <c r="J29" s="327" t="b">
        <f>IF(AND(required_cot&gt;=1,RHPI[[#This Row],[Selected]]),VLOOKUP(RHPI[[#This Row],[Strand]],indSelect_RHP,10,FALSE)=1,FALSE)</f>
        <v>0</v>
      </c>
      <c r="K29" s="327" t="b">
        <f>IF(AND(required_cot&gt;=2,RHPI[[#This Row],[Selected]]),VLOOKUP(RHPI[[#This Row],[Strand]],indSelect_RHP,11,FALSE)=1,FALSE)</f>
        <v>0</v>
      </c>
      <c r="L29" s="327" t="b">
        <f>IF(AND(required_cot&gt;=3,RHPI[[#This Row],[Selected]]),VLOOKUP(RHPI[[#This Row],[Strand]],indSelect_RHP,12,FALSE)=1,FALSE)</f>
        <v>0</v>
      </c>
      <c r="M29" s="327" t="b">
        <f>IF(AND(required_cot&gt;=4,RHPI[[#This Row],[Selected]]),VLOOKUP(RHPI[[#This Row],[Strand]],indSelect_RHP,13,FALSE)=1,FALSE)</f>
        <v>0</v>
      </c>
    </row>
    <row r="30" spans="1:13" ht="45" x14ac:dyDescent="0.25">
      <c r="A30" s="22" t="s">
        <v>1556</v>
      </c>
      <c r="B30" s="19" t="s">
        <v>1557</v>
      </c>
      <c r="C30" s="13">
        <v>6</v>
      </c>
      <c r="D30" s="320" t="str">
        <f>IFERROR(IF(AND(COUNTIF(RHPS[helper],RHPI[[#This Row],[Strand]]&amp;"-Q-COI")&gt;0,COUNTIF(RHPS[helper],RHPI[[#This Row],[Strand]]&amp;"-Q-NCOI")&gt;0),"COI/NCOI",IF(COUNTIF(RHPS[helper],RHPI[[#This Row],[Strand]]&amp;"-Q-COI")&gt;0,"COI",IF(COUNTIF(RHPS[helper],RHPI[[#This Row],[Strand]]&amp;"-Q-NCOI")&gt;0,"NCOI",""))),"")</f>
        <v>NCOI</v>
      </c>
      <c r="E30" s="13">
        <v>3</v>
      </c>
      <c r="F30" s="327" t="b">
        <f>VLOOKUP(RHPI[[#This Row],[Strand]],indSelect_RHP,7,FALSE)</f>
        <v>0</v>
      </c>
      <c r="G30" s="320" t="str">
        <f>IF(AND(career_stage="HP",teacher_type="R",RHPI[[#This Row],[CO]]="COI/NCOI",RHPI[[#This Row],[Selected]]),VLOOKUP(RHPI[[#This Row],[Strand]],coi_ncoi_select,COLUMNS(coi_ncoi_select),FALSE),RHPI[[#This Row],[CO]])</f>
        <v>NCOI</v>
      </c>
      <c r="H30" s="323">
        <f>VLOOKUP(RHPI[[#This Row],[Strand]],indSelect_RHP,6,FALSE)</f>
        <v>0</v>
      </c>
      <c r="I30" s="320" t="str">
        <f>IFERROR(IF(AND(RHPI[[#This Row],[Selected]],RHPI[[#This Row],[CO]]="COI/NCOI"),VLOOKUP(RHPI[[#This Row],[Strand]],indSelect_RHP,9,FALSE),RHPI[[#This Row],[CO]]),RHPI[[#This Row],[CO]])</f>
        <v>NCOI</v>
      </c>
      <c r="J30" s="327" t="b">
        <f>IF(AND(required_cot&gt;=1,RHPI[[#This Row],[Selected]]),VLOOKUP(RHPI[[#This Row],[Strand]],indSelect_RHP,10,FALSE)=1,FALSE)</f>
        <v>0</v>
      </c>
      <c r="K30" s="327" t="b">
        <f>IF(AND(required_cot&gt;=2,RHPI[[#This Row],[Selected]]),VLOOKUP(RHPI[[#This Row],[Strand]],indSelect_RHP,11,FALSE)=1,FALSE)</f>
        <v>0</v>
      </c>
      <c r="L30" s="327" t="b">
        <f>IF(AND(required_cot&gt;=3,RHPI[[#This Row],[Selected]]),VLOOKUP(RHPI[[#This Row],[Strand]],indSelect_RHP,12,FALSE)=1,FALSE)</f>
        <v>0</v>
      </c>
      <c r="M30" s="327" t="b">
        <f>IF(AND(required_cot&gt;=4,RHPI[[#This Row],[Selected]]),VLOOKUP(RHPI[[#This Row],[Strand]],indSelect_RHP,13,FALSE)=1,FALSE)</f>
        <v>0</v>
      </c>
    </row>
    <row r="31" spans="1:13" ht="60" x14ac:dyDescent="0.25">
      <c r="A31" s="22" t="s">
        <v>1558</v>
      </c>
      <c r="B31" s="18" t="s">
        <v>1559</v>
      </c>
      <c r="C31" s="13">
        <v>4</v>
      </c>
      <c r="D31" s="320" t="str">
        <f>IFERROR(IF(AND(COUNTIF(RHPS[helper],RHPI[[#This Row],[Strand]]&amp;"-Q-COI")&gt;0,COUNTIF(RHPS[helper],RHPI[[#This Row],[Strand]]&amp;"-Q-NCOI")&gt;0),"COI/NCOI",IF(COUNTIF(RHPS[helper],RHPI[[#This Row],[Strand]]&amp;"-Q-COI")&gt;0,"COI",IF(COUNTIF(RHPS[helper],RHPI[[#This Row],[Strand]]&amp;"-Q-NCOI")&gt;0,"NCOI",""))),"")</f>
        <v>NCOI</v>
      </c>
      <c r="E31" s="13">
        <v>2</v>
      </c>
      <c r="F31" s="327" t="b">
        <f>VLOOKUP(RHPI[[#This Row],[Strand]],indSelect_RHP,7,FALSE)</f>
        <v>1</v>
      </c>
      <c r="G31" s="320" t="str">
        <f>IF(AND(career_stage="HP",teacher_type="R",RHPI[[#This Row],[CO]]="COI/NCOI",RHPI[[#This Row],[Selected]]),VLOOKUP(RHPI[[#This Row],[Strand]],coi_ncoi_select,COLUMNS(coi_ncoi_select),FALSE),RHPI[[#This Row],[CO]])</f>
        <v>NCOI</v>
      </c>
      <c r="H31" s="323">
        <f>VLOOKUP(RHPI[[#This Row],[Strand]],indSelect_RHP,6,FALSE)</f>
        <v>7.0000000000000007E-2</v>
      </c>
      <c r="I31" s="320" t="str">
        <f>IFERROR(IF(AND(RHPI[[#This Row],[Selected]],RHPI[[#This Row],[CO]]="COI/NCOI"),VLOOKUP(RHPI[[#This Row],[Strand]],indSelect_RHP,9,FALSE),RHPI[[#This Row],[CO]]),RHPI[[#This Row],[CO]])</f>
        <v>NCOI</v>
      </c>
      <c r="J31" s="327" t="b">
        <f>IF(AND(required_cot&gt;=1,RHPI[[#This Row],[Selected]]),VLOOKUP(RHPI[[#This Row],[Strand]],indSelect_RHP,10,FALSE)=1,FALSE)</f>
        <v>0</v>
      </c>
      <c r="K31" s="327" t="b">
        <f>IF(AND(required_cot&gt;=2,RHPI[[#This Row],[Selected]]),VLOOKUP(RHPI[[#This Row],[Strand]],indSelect_RHP,11,FALSE)=1,FALSE)</f>
        <v>0</v>
      </c>
      <c r="L31" s="327" t="b">
        <f>IF(AND(required_cot&gt;=3,RHPI[[#This Row],[Selected]]),VLOOKUP(RHPI[[#This Row],[Strand]],indSelect_RHP,12,FALSE)=1,FALSE)</f>
        <v>0</v>
      </c>
      <c r="M31" s="327" t="b">
        <f>IF(AND(required_cot&gt;=4,RHPI[[#This Row],[Selected]]),VLOOKUP(RHPI[[#This Row],[Strand]],indSelect_RHP,13,FALSE)=1,FALSE)</f>
        <v>0</v>
      </c>
    </row>
    <row r="32" spans="1:13" ht="75" x14ac:dyDescent="0.25">
      <c r="A32" s="22" t="s">
        <v>1560</v>
      </c>
      <c r="B32" s="19" t="s">
        <v>1561</v>
      </c>
      <c r="C32" s="13">
        <v>6</v>
      </c>
      <c r="D32" s="320" t="str">
        <f>IFERROR(IF(AND(COUNTIF(RHPS[helper],RHPI[[#This Row],[Strand]]&amp;"-Q-COI")&gt;0,COUNTIF(RHPS[helper],RHPI[[#This Row],[Strand]]&amp;"-Q-NCOI")&gt;0),"COI/NCOI",IF(COUNTIF(RHPS[helper],RHPI[[#This Row],[Strand]]&amp;"-Q-COI")&gt;0,"COI",IF(COUNTIF(RHPS[helper],RHPI[[#This Row],[Strand]]&amp;"-Q-NCOI")&gt;0,"NCOI",""))),"")</f>
        <v>NCOI</v>
      </c>
      <c r="E32" s="13">
        <v>3</v>
      </c>
      <c r="F32" s="327" t="b">
        <f>VLOOKUP(RHPI[[#This Row],[Strand]],indSelect_RHP,7,FALSE)</f>
        <v>0</v>
      </c>
      <c r="G32" s="320" t="str">
        <f>IF(AND(career_stage="HP",teacher_type="R",RHPI[[#This Row],[CO]]="COI/NCOI",RHPI[[#This Row],[Selected]]),VLOOKUP(RHPI[[#This Row],[Strand]],coi_ncoi_select,COLUMNS(coi_ncoi_select),FALSE),RHPI[[#This Row],[CO]])</f>
        <v>NCOI</v>
      </c>
      <c r="H32" s="323">
        <f>VLOOKUP(RHPI[[#This Row],[Strand]],indSelect_RHP,6,FALSE)</f>
        <v>0</v>
      </c>
      <c r="I32" s="320" t="str">
        <f>IFERROR(IF(AND(RHPI[[#This Row],[Selected]],RHPI[[#This Row],[CO]]="COI/NCOI"),VLOOKUP(RHPI[[#This Row],[Strand]],indSelect_RHP,9,FALSE),RHPI[[#This Row],[CO]]),RHPI[[#This Row],[CO]])</f>
        <v>NCOI</v>
      </c>
      <c r="J32" s="327" t="b">
        <f>IF(AND(required_cot&gt;=1,RHPI[[#This Row],[Selected]]),VLOOKUP(RHPI[[#This Row],[Strand]],indSelect_RHP,10,FALSE)=1,FALSE)</f>
        <v>0</v>
      </c>
      <c r="K32" s="327" t="b">
        <f>IF(AND(required_cot&gt;=2,RHPI[[#This Row],[Selected]]),VLOOKUP(RHPI[[#This Row],[Strand]],indSelect_RHP,11,FALSE)=1,FALSE)</f>
        <v>0</v>
      </c>
      <c r="L32" s="327" t="b">
        <f>IF(AND(required_cot&gt;=3,RHPI[[#This Row],[Selected]]),VLOOKUP(RHPI[[#This Row],[Strand]],indSelect_RHP,12,FALSE)=1,FALSE)</f>
        <v>0</v>
      </c>
      <c r="M32" s="327" t="b">
        <f>IF(AND(required_cot&gt;=4,RHPI[[#This Row],[Selected]]),VLOOKUP(RHPI[[#This Row],[Strand]],indSelect_RHP,13,FALSE)=1,FALSE)</f>
        <v>0</v>
      </c>
    </row>
    <row r="33" spans="1:13" ht="75" x14ac:dyDescent="0.25">
      <c r="A33" s="22" t="s">
        <v>1562</v>
      </c>
      <c r="B33" s="19" t="s">
        <v>1563</v>
      </c>
      <c r="C33" s="13">
        <v>6</v>
      </c>
      <c r="D33" s="320" t="str">
        <f>IFERROR(IF(AND(COUNTIF(RHPS[helper],RHPI[[#This Row],[Strand]]&amp;"-Q-COI")&gt;0,COUNTIF(RHPS[helper],RHPI[[#This Row],[Strand]]&amp;"-Q-NCOI")&gt;0),"COI/NCOI",IF(COUNTIF(RHPS[helper],RHPI[[#This Row],[Strand]]&amp;"-Q-COI")&gt;0,"COI",IF(COUNTIF(RHPS[helper],RHPI[[#This Row],[Strand]]&amp;"-Q-NCOI")&gt;0,"NCOI",""))),"")</f>
        <v>NCOI</v>
      </c>
      <c r="E33" s="13">
        <v>3</v>
      </c>
      <c r="F33" s="327" t="b">
        <f>VLOOKUP(RHPI[[#This Row],[Strand]],indSelect_RHP,7,FALSE)</f>
        <v>0</v>
      </c>
      <c r="G33" s="320" t="str">
        <f>IF(AND(career_stage="HP",teacher_type="R",RHPI[[#This Row],[CO]]="COI/NCOI",RHPI[[#This Row],[Selected]]),VLOOKUP(RHPI[[#This Row],[Strand]],coi_ncoi_select,COLUMNS(coi_ncoi_select),FALSE),RHPI[[#This Row],[CO]])</f>
        <v>NCOI</v>
      </c>
      <c r="H33" s="323">
        <f>VLOOKUP(RHPI[[#This Row],[Strand]],indSelect_RHP,6,FALSE)</f>
        <v>0</v>
      </c>
      <c r="I33" s="320" t="str">
        <f>IFERROR(IF(AND(RHPI[[#This Row],[Selected]],RHPI[[#This Row],[CO]]="COI/NCOI"),VLOOKUP(RHPI[[#This Row],[Strand]],indSelect_RHP,9,FALSE),RHPI[[#This Row],[CO]]),RHPI[[#This Row],[CO]])</f>
        <v>NCOI</v>
      </c>
      <c r="J33" s="327" t="b">
        <f>IF(AND(required_cot&gt;=1,RHPI[[#This Row],[Selected]]),VLOOKUP(RHPI[[#This Row],[Strand]],indSelect_RHP,10,FALSE)=1,FALSE)</f>
        <v>0</v>
      </c>
      <c r="K33" s="327" t="b">
        <f>IF(AND(required_cot&gt;=2,RHPI[[#This Row],[Selected]]),VLOOKUP(RHPI[[#This Row],[Strand]],indSelect_RHP,11,FALSE)=1,FALSE)</f>
        <v>0</v>
      </c>
      <c r="L33" s="327" t="b">
        <f>IF(AND(required_cot&gt;=3,RHPI[[#This Row],[Selected]]),VLOOKUP(RHPI[[#This Row],[Strand]],indSelect_RHP,12,FALSE)=1,FALSE)</f>
        <v>0</v>
      </c>
      <c r="M33" s="327" t="b">
        <f>IF(AND(required_cot&gt;=4,RHPI[[#This Row],[Selected]]),VLOOKUP(RHPI[[#This Row],[Strand]],indSelect_RHP,13,FALSE)=1,FALSE)</f>
        <v>0</v>
      </c>
    </row>
    <row r="34" spans="1:13" ht="60" x14ac:dyDescent="0.25">
      <c r="A34" s="22" t="s">
        <v>1564</v>
      </c>
      <c r="B34" s="19" t="s">
        <v>1565</v>
      </c>
      <c r="C34" s="13">
        <v>5</v>
      </c>
      <c r="D34" s="320" t="str">
        <f>IFERROR(IF(AND(COUNTIF(RHPS[helper],RHPI[[#This Row],[Strand]]&amp;"-Q-COI")&gt;0,COUNTIF(RHPS[helper],RHPI[[#This Row],[Strand]]&amp;"-Q-NCOI")&gt;0),"COI/NCOI",IF(COUNTIF(RHPS[helper],RHPI[[#This Row],[Strand]]&amp;"-Q-COI")&gt;0,"COI",IF(COUNTIF(RHPS[helper],RHPI[[#This Row],[Strand]]&amp;"-Q-NCOI")&gt;0,"NCOI",""))),"")</f>
        <v>NCOI</v>
      </c>
      <c r="E34" s="13">
        <v>3</v>
      </c>
      <c r="F34" s="327" t="b">
        <f>VLOOKUP(RHPI[[#This Row],[Strand]],indSelect_RHP,7,FALSE)</f>
        <v>0</v>
      </c>
      <c r="G34" s="320" t="str">
        <f>IF(AND(career_stage="HP",teacher_type="R",RHPI[[#This Row],[CO]]="COI/NCOI",RHPI[[#This Row],[Selected]]),VLOOKUP(RHPI[[#This Row],[Strand]],coi_ncoi_select,COLUMNS(coi_ncoi_select),FALSE),RHPI[[#This Row],[CO]])</f>
        <v>NCOI</v>
      </c>
      <c r="H34" s="323">
        <f>VLOOKUP(RHPI[[#This Row],[Strand]],indSelect_RHP,6,FALSE)</f>
        <v>0</v>
      </c>
      <c r="I34" s="320" t="str">
        <f>IFERROR(IF(AND(RHPI[[#This Row],[Selected]],RHPI[[#This Row],[CO]]="COI/NCOI"),VLOOKUP(RHPI[[#This Row],[Strand]],indSelect_RHP,9,FALSE),RHPI[[#This Row],[CO]]),RHPI[[#This Row],[CO]])</f>
        <v>NCOI</v>
      </c>
      <c r="J34" s="327" t="b">
        <f>IF(AND(required_cot&gt;=1,RHPI[[#This Row],[Selected]]),VLOOKUP(RHPI[[#This Row],[Strand]],indSelect_RHP,10,FALSE)=1,FALSE)</f>
        <v>0</v>
      </c>
      <c r="K34" s="327" t="b">
        <f>IF(AND(required_cot&gt;=2,RHPI[[#This Row],[Selected]]),VLOOKUP(RHPI[[#This Row],[Strand]],indSelect_RHP,11,FALSE)=1,FALSE)</f>
        <v>0</v>
      </c>
      <c r="L34" s="327" t="b">
        <f>IF(AND(required_cot&gt;=3,RHPI[[#This Row],[Selected]]),VLOOKUP(RHPI[[#This Row],[Strand]],indSelect_RHP,12,FALSE)=1,FALSE)</f>
        <v>0</v>
      </c>
      <c r="M34" s="327" t="b">
        <f>IF(AND(required_cot&gt;=4,RHPI[[#This Row],[Selected]]),VLOOKUP(RHPI[[#This Row],[Strand]],indSelect_RHP,13,FALSE)=1,FALSE)</f>
        <v>0</v>
      </c>
    </row>
    <row r="35" spans="1:13" ht="60" x14ac:dyDescent="0.25">
      <c r="A35" s="22" t="s">
        <v>1566</v>
      </c>
      <c r="B35" s="19" t="s">
        <v>1567</v>
      </c>
      <c r="C35" s="13">
        <v>5</v>
      </c>
      <c r="D35" s="320" t="str">
        <f>IFERROR(IF(AND(COUNTIF(RHPS[helper],RHPI[[#This Row],[Strand]]&amp;"-Q-COI")&gt;0,COUNTIF(RHPS[helper],RHPI[[#This Row],[Strand]]&amp;"-Q-NCOI")&gt;0),"COI/NCOI",IF(COUNTIF(RHPS[helper],RHPI[[#This Row],[Strand]]&amp;"-Q-COI")&gt;0,"COI",IF(COUNTIF(RHPS[helper],RHPI[[#This Row],[Strand]]&amp;"-Q-NCOI")&gt;0,"NCOI",""))),"")</f>
        <v>NCOI</v>
      </c>
      <c r="E35" s="13">
        <v>3</v>
      </c>
      <c r="F35" s="327" t="b">
        <f>VLOOKUP(RHPI[[#This Row],[Strand]],indSelect_RHP,7,FALSE)</f>
        <v>0</v>
      </c>
      <c r="G35" s="320" t="str">
        <f>IF(AND(career_stage="HP",teacher_type="R",RHPI[[#This Row],[CO]]="COI/NCOI",RHPI[[#This Row],[Selected]]),VLOOKUP(RHPI[[#This Row],[Strand]],coi_ncoi_select,COLUMNS(coi_ncoi_select),FALSE),RHPI[[#This Row],[CO]])</f>
        <v>NCOI</v>
      </c>
      <c r="H35" s="323">
        <f>VLOOKUP(RHPI[[#This Row],[Strand]],indSelect_RHP,6,FALSE)</f>
        <v>0</v>
      </c>
      <c r="I35" s="320" t="str">
        <f>IFERROR(IF(AND(RHPI[[#This Row],[Selected]],RHPI[[#This Row],[CO]]="COI/NCOI"),VLOOKUP(RHPI[[#This Row],[Strand]],indSelect_RHP,9,FALSE),RHPI[[#This Row],[CO]]),RHPI[[#This Row],[CO]])</f>
        <v>NCOI</v>
      </c>
      <c r="J35" s="327" t="b">
        <f>IF(AND(required_cot&gt;=1,RHPI[[#This Row],[Selected]]),VLOOKUP(RHPI[[#This Row],[Strand]],indSelect_RHP,10,FALSE)=1,FALSE)</f>
        <v>0</v>
      </c>
      <c r="K35" s="327" t="b">
        <f>IF(AND(required_cot&gt;=2,RHPI[[#This Row],[Selected]]),VLOOKUP(RHPI[[#This Row],[Strand]],indSelect_RHP,11,FALSE)=1,FALSE)</f>
        <v>0</v>
      </c>
      <c r="L35" s="327" t="b">
        <f>IF(AND(required_cot&gt;=3,RHPI[[#This Row],[Selected]]),VLOOKUP(RHPI[[#This Row],[Strand]],indSelect_RHP,12,FALSE)=1,FALSE)</f>
        <v>0</v>
      </c>
      <c r="M35" s="327" t="b">
        <f>IF(AND(required_cot&gt;=4,RHPI[[#This Row],[Selected]]),VLOOKUP(RHPI[[#This Row],[Strand]],indSelect_RHP,13,FALSE)=1,FALSE)</f>
        <v>0</v>
      </c>
    </row>
    <row r="36" spans="1:13" ht="45" x14ac:dyDescent="0.25">
      <c r="A36" s="22" t="s">
        <v>1568</v>
      </c>
      <c r="B36" s="18" t="s">
        <v>1569</v>
      </c>
      <c r="C36" s="13">
        <v>4</v>
      </c>
      <c r="D36" s="320" t="str">
        <f>IFERROR(IF(AND(COUNTIF(RHPS[helper],RHPI[[#This Row],[Strand]]&amp;"-Q-COI")&gt;0,COUNTIF(RHPS[helper],RHPI[[#This Row],[Strand]]&amp;"-Q-NCOI")&gt;0),"COI/NCOI",IF(COUNTIF(RHPS[helper],RHPI[[#This Row],[Strand]]&amp;"-Q-COI")&gt;0,"COI",IF(COUNTIF(RHPS[helper],RHPI[[#This Row],[Strand]]&amp;"-Q-NCOI")&gt;0,"NCOI",""))),"")</f>
        <v>NCOI</v>
      </c>
      <c r="E36" s="13">
        <v>2</v>
      </c>
      <c r="F36" s="327" t="b">
        <f>VLOOKUP(RHPI[[#This Row],[Strand]],indSelect_RHP,7,FALSE)</f>
        <v>1</v>
      </c>
      <c r="G36" s="320" t="str">
        <f>IF(AND(career_stage="HP",teacher_type="R",RHPI[[#This Row],[CO]]="COI/NCOI",RHPI[[#This Row],[Selected]]),VLOOKUP(RHPI[[#This Row],[Strand]],coi_ncoi_select,COLUMNS(coi_ncoi_select),FALSE),RHPI[[#This Row],[CO]])</f>
        <v>NCOI</v>
      </c>
      <c r="H36" s="323">
        <f>VLOOKUP(RHPI[[#This Row],[Strand]],indSelect_RHP,6,FALSE)</f>
        <v>7.0000000000000007E-2</v>
      </c>
      <c r="I36" s="320" t="str">
        <f>IFERROR(IF(AND(RHPI[[#This Row],[Selected]],RHPI[[#This Row],[CO]]="COI/NCOI"),VLOOKUP(RHPI[[#This Row],[Strand]],indSelect_RHP,9,FALSE),RHPI[[#This Row],[CO]]),RHPI[[#This Row],[CO]])</f>
        <v>NCOI</v>
      </c>
      <c r="J36" s="327" t="b">
        <f>IF(AND(required_cot&gt;=1,RHPI[[#This Row],[Selected]]),VLOOKUP(RHPI[[#This Row],[Strand]],indSelect_RHP,10,FALSE)=1,FALSE)</f>
        <v>0</v>
      </c>
      <c r="K36" s="327" t="b">
        <f>IF(AND(required_cot&gt;=2,RHPI[[#This Row],[Selected]]),VLOOKUP(RHPI[[#This Row],[Strand]],indSelect_RHP,11,FALSE)=1,FALSE)</f>
        <v>0</v>
      </c>
      <c r="L36" s="327" t="b">
        <f>IF(AND(required_cot&gt;=3,RHPI[[#This Row],[Selected]]),VLOOKUP(RHPI[[#This Row],[Strand]],indSelect_RHP,12,FALSE)=1,FALSE)</f>
        <v>0</v>
      </c>
      <c r="M36" s="327" t="b">
        <f>IF(AND(required_cot&gt;=4,RHPI[[#This Row],[Selected]]),VLOOKUP(RHPI[[#This Row],[Strand]],indSelect_RHP,13,FALSE)=1,FALSE)</f>
        <v>0</v>
      </c>
    </row>
    <row r="37" spans="1:13" ht="45" x14ac:dyDescent="0.25">
      <c r="A37" s="22" t="s">
        <v>1570</v>
      </c>
      <c r="B37" s="18" t="s">
        <v>1571</v>
      </c>
      <c r="C37" s="13">
        <v>4</v>
      </c>
      <c r="D37" s="320" t="str">
        <f>IFERROR(IF(AND(COUNTIF(RHPS[helper],RHPI[[#This Row],[Strand]]&amp;"-Q-COI")&gt;0,COUNTIF(RHPS[helper],RHPI[[#This Row],[Strand]]&amp;"-Q-NCOI")&gt;0),"COI/NCOI",IF(COUNTIF(RHPS[helper],RHPI[[#This Row],[Strand]]&amp;"-Q-COI")&gt;0,"COI",IF(COUNTIF(RHPS[helper],RHPI[[#This Row],[Strand]]&amp;"-Q-NCOI")&gt;0,"NCOI",""))),"")</f>
        <v>NCOI</v>
      </c>
      <c r="E37" s="13">
        <v>2</v>
      </c>
      <c r="F37" s="327" t="b">
        <f>VLOOKUP(RHPI[[#This Row],[Strand]],indSelect_RHP,7,FALSE)</f>
        <v>1</v>
      </c>
      <c r="G37" s="320" t="str">
        <f>IF(AND(career_stage="HP",teacher_type="R",RHPI[[#This Row],[CO]]="COI/NCOI",RHPI[[#This Row],[Selected]]),VLOOKUP(RHPI[[#This Row],[Strand]],coi_ncoi_select,COLUMNS(coi_ncoi_select),FALSE),RHPI[[#This Row],[CO]])</f>
        <v>NCOI</v>
      </c>
      <c r="H37" s="323">
        <f>VLOOKUP(RHPI[[#This Row],[Strand]],indSelect_RHP,6,FALSE)</f>
        <v>7.0000000000000007E-2</v>
      </c>
      <c r="I37" s="320" t="str">
        <f>IFERROR(IF(AND(RHPI[[#This Row],[Selected]],RHPI[[#This Row],[CO]]="COI/NCOI"),VLOOKUP(RHPI[[#This Row],[Strand]],indSelect_RHP,9,FALSE),RHPI[[#This Row],[CO]]),RHPI[[#This Row],[CO]])</f>
        <v>NCOI</v>
      </c>
      <c r="J37" s="327" t="b">
        <f>IF(AND(required_cot&gt;=1,RHPI[[#This Row],[Selected]]),VLOOKUP(RHPI[[#This Row],[Strand]],indSelect_RHP,10,FALSE)=1,FALSE)</f>
        <v>0</v>
      </c>
      <c r="K37" s="327" t="b">
        <f>IF(AND(required_cot&gt;=2,RHPI[[#This Row],[Selected]]),VLOOKUP(RHPI[[#This Row],[Strand]],indSelect_RHP,11,FALSE)=1,FALSE)</f>
        <v>0</v>
      </c>
      <c r="L37" s="327" t="b">
        <f>IF(AND(required_cot&gt;=3,RHPI[[#This Row],[Selected]]),VLOOKUP(RHPI[[#This Row],[Strand]],indSelect_RHP,12,FALSE)=1,FALSE)</f>
        <v>0</v>
      </c>
      <c r="M37" s="327" t="b">
        <f>IF(AND(required_cot&gt;=4,RHPI[[#This Row],[Selected]]),VLOOKUP(RHPI[[#This Row],[Strand]],indSelect_RHP,13,FALSE)=1,FALSE)</f>
        <v>0</v>
      </c>
    </row>
    <row r="38" spans="1:13" ht="75" x14ac:dyDescent="0.25">
      <c r="A38" s="22" t="s">
        <v>1572</v>
      </c>
      <c r="B38" s="19" t="s">
        <v>1573</v>
      </c>
      <c r="C38" s="13">
        <v>5</v>
      </c>
      <c r="D38" s="320" t="str">
        <f>IFERROR(IF(AND(COUNTIF(RHPS[helper],RHPI[[#This Row],[Strand]]&amp;"-Q-COI")&gt;0,COUNTIF(RHPS[helper],RHPI[[#This Row],[Strand]]&amp;"-Q-NCOI")&gt;0),"COI/NCOI",IF(COUNTIF(RHPS[helper],RHPI[[#This Row],[Strand]]&amp;"-Q-COI")&gt;0,"COI",IF(COUNTIF(RHPS[helper],RHPI[[#This Row],[Strand]]&amp;"-Q-NCOI")&gt;0,"NCOI",""))),"")</f>
        <v>NCOI</v>
      </c>
      <c r="E38" s="13">
        <v>3</v>
      </c>
      <c r="F38" s="327" t="b">
        <f>VLOOKUP(RHPI[[#This Row],[Strand]],indSelect_RHP,7,FALSE)</f>
        <v>0</v>
      </c>
      <c r="G38" s="320" t="str">
        <f>IF(AND(career_stage="HP",teacher_type="R",RHPI[[#This Row],[CO]]="COI/NCOI",RHPI[[#This Row],[Selected]]),VLOOKUP(RHPI[[#This Row],[Strand]],coi_ncoi_select,COLUMNS(coi_ncoi_select),FALSE),RHPI[[#This Row],[CO]])</f>
        <v>NCOI</v>
      </c>
      <c r="H38" s="323">
        <f>VLOOKUP(RHPI[[#This Row],[Strand]],indSelect_RHP,6,FALSE)</f>
        <v>0</v>
      </c>
      <c r="I38" s="320" t="str">
        <f>IFERROR(IF(AND(RHPI[[#This Row],[Selected]],RHPI[[#This Row],[CO]]="COI/NCOI"),VLOOKUP(RHPI[[#This Row],[Strand]],indSelect_RHP,9,FALSE),RHPI[[#This Row],[CO]]),RHPI[[#This Row],[CO]])</f>
        <v>NCOI</v>
      </c>
      <c r="J38" s="327" t="b">
        <f>IF(AND(required_cot&gt;=1,RHPI[[#This Row],[Selected]]),VLOOKUP(RHPI[[#This Row],[Strand]],indSelect_RHP,10,FALSE)=1,FALSE)</f>
        <v>0</v>
      </c>
      <c r="K38" s="327" t="b">
        <f>IF(AND(required_cot&gt;=2,RHPI[[#This Row],[Selected]]),VLOOKUP(RHPI[[#This Row],[Strand]],indSelect_RHP,11,FALSE)=1,FALSE)</f>
        <v>0</v>
      </c>
      <c r="L38" s="327" t="b">
        <f>IF(AND(required_cot&gt;=3,RHPI[[#This Row],[Selected]]),VLOOKUP(RHPI[[#This Row],[Strand]],indSelect_RHP,12,FALSE)=1,FALSE)</f>
        <v>0</v>
      </c>
      <c r="M38" s="327" t="b">
        <f>IF(AND(required_cot&gt;=4,RHPI[[#This Row],[Selected]]),VLOOKUP(RHPI[[#This Row],[Strand]],indSelect_RHP,13,FALSE)=1,FALSE)</f>
        <v>0</v>
      </c>
    </row>
    <row r="39" spans="1:13" ht="30" x14ac:dyDescent="0.25">
      <c r="A39" s="401">
        <v>15</v>
      </c>
      <c r="B39" s="25" t="s">
        <v>1574</v>
      </c>
      <c r="C39" s="26" t="s">
        <v>1268</v>
      </c>
      <c r="D39" s="320" t="str">
        <f>IFERROR(IF(AND(COUNTIF(RHPS[helper],RHPI[[#This Row],[Strand]]&amp;"-Q-COI")&gt;0,COUNTIF(RHPS[helper],RHPI[[#This Row],[Strand]]&amp;"-Q-NCOI")&gt;0),"COI/NCOI",IF(COUNTIF(RHPS[helper],RHPI[[#This Row],[Strand]]&amp;"-Q-COI")&gt;0,"COI",IF(COUNTIF(RHPS[helper],RHPI[[#This Row],[Strand]]&amp;"-Q-NCOI")&gt;0,"NCOI",""))),"")</f>
        <v>NCOI</v>
      </c>
      <c r="E39" s="13">
        <v>3</v>
      </c>
      <c r="F39" s="327" t="b">
        <f>VLOOKUP(RHPI[[#This Row],[Strand]],indSelect_RHP,7,FALSE)</f>
        <v>1</v>
      </c>
      <c r="G39" s="320" t="str">
        <f>IF(AND(career_stage="HP",teacher_type="R",RHPI[[#This Row],[CO]]="COI/NCOI",RHPI[[#This Row],[Selected]]),VLOOKUP(RHPI[[#This Row],[Strand]],coi_ncoi_select,COLUMNS(coi_ncoi_select),FALSE),RHPI[[#This Row],[CO]])</f>
        <v>NCOI</v>
      </c>
      <c r="H39" s="323">
        <f>VLOOKUP(RHPI[[#This Row],[Strand]],indSelect_RHP,6,FALSE)</f>
        <v>0.02</v>
      </c>
      <c r="I39" s="320" t="str">
        <f>IFERROR(IF(AND(RHPI[[#This Row],[Selected]],RHPI[[#This Row],[CO]]="COI/NCOI"),VLOOKUP(RHPI[[#This Row],[Strand]],indSelect_RHP,9,FALSE),RHPI[[#This Row],[CO]]),RHPI[[#This Row],[CO]])</f>
        <v>NCOI</v>
      </c>
      <c r="J39" s="327" t="b">
        <f>IF(AND(required_cot&gt;=1,RHPI[[#This Row],[Selected]]),VLOOKUP(RHPI[[#This Row],[Strand]],indSelect_RHP,10,FALSE)=1,FALSE)</f>
        <v>0</v>
      </c>
      <c r="K39" s="327" t="b">
        <f>IF(AND(required_cot&gt;=2,RHPI[[#This Row],[Selected]]),VLOOKUP(RHPI[[#This Row],[Strand]],indSelect_RHP,11,FALSE)=1,FALSE)</f>
        <v>0</v>
      </c>
      <c r="L39" s="327" t="b">
        <f>IF(AND(required_cot&gt;=3,RHPI[[#This Row],[Selected]]),VLOOKUP(RHPI[[#This Row],[Strand]],indSelect_RHP,12,FALSE)=1,FALSE)</f>
        <v>0</v>
      </c>
      <c r="M39" s="327" t="b">
        <f>IF(AND(required_cot&gt;=4,RHPI[[#This Row],[Selected]]),VLOOKUP(RHPI[[#This Row],[Strand]],indSelect_RHP,13,FALSE)=1,FALSE)</f>
        <v>0</v>
      </c>
    </row>
    <row r="40" spans="1:13" x14ac:dyDescent="0.25">
      <c r="A40" s="9"/>
      <c r="B40" s="10"/>
      <c r="C40" s="9"/>
      <c r="D40" s="9"/>
    </row>
  </sheetData>
  <sheetProtection algorithmName="SHA-512" hashValue="DbOkVNjwYeBJ8sev7ivzgZ3DigFWjAmbT1zXzF17eD9JqI6exJE+oKC0NHtDcePD91CFez+IhQVL9zdjihl1nw==" saltValue="3NfkW6BfOsHNrjNy+H/gnA==" spinCount="100000" sheet="1" objects="1" scenarios="1" selectLockedCells="1" selectUnlockedCells="1"/>
  <pageMargins left="0.7" right="0.7" top="0.75" bottom="0.75" header="0.3" footer="0.3"/>
  <pageSetup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48905-0D18-4668-8CF4-CF7A0D4319C6}">
  <sheetPr codeName="RHPS_Sheet"/>
  <dimension ref="A1:J71"/>
  <sheetViews>
    <sheetView zoomScale="78" zoomScaleNormal="78" workbookViewId="0">
      <pane ySplit="1" topLeftCell="A30" activePane="bottomLeft" state="frozen"/>
      <selection activeCell="B6" sqref="B6"/>
      <selection pane="bottomLeft" activeCell="B35" sqref="B35"/>
    </sheetView>
  </sheetViews>
  <sheetFormatPr defaultColWidth="8.85546875" defaultRowHeight="15" x14ac:dyDescent="0.25"/>
  <cols>
    <col min="1" max="1" width="8.42578125" style="6" customWidth="1"/>
    <col min="2" max="2" width="6" style="6" customWidth="1"/>
    <col min="3" max="3" width="5" style="6" hidden="1" customWidth="1"/>
    <col min="4" max="4" width="6.140625" style="6" customWidth="1"/>
    <col min="5" max="5" width="11.85546875" style="6" customWidth="1"/>
    <col min="6" max="10" width="31.85546875" style="5" customWidth="1"/>
    <col min="11" max="16384" width="8.85546875" style="5"/>
  </cols>
  <sheetData>
    <row r="1" spans="1:10" s="1" customFormat="1" x14ac:dyDescent="0.25">
      <c r="A1" s="20" t="s">
        <v>882</v>
      </c>
      <c r="B1" s="23" t="s">
        <v>731</v>
      </c>
      <c r="C1" s="23" t="s">
        <v>885</v>
      </c>
      <c r="D1" s="23" t="s">
        <v>1176</v>
      </c>
      <c r="E1" s="23" t="s">
        <v>1181</v>
      </c>
      <c r="F1" s="23" t="s">
        <v>773</v>
      </c>
      <c r="G1" s="23" t="s">
        <v>764</v>
      </c>
      <c r="H1" s="23" t="s">
        <v>751</v>
      </c>
      <c r="I1" s="23" t="s">
        <v>732</v>
      </c>
      <c r="J1" s="21" t="s">
        <v>714</v>
      </c>
    </row>
    <row r="2" spans="1:10" ht="48" customHeight="1" x14ac:dyDescent="0.25">
      <c r="A2" s="22" t="s">
        <v>1500</v>
      </c>
      <c r="B2" s="13" t="s">
        <v>731</v>
      </c>
      <c r="C2" s="13">
        <v>3</v>
      </c>
      <c r="D2" s="13" t="s">
        <v>1012</v>
      </c>
      <c r="E2" s="13" t="str">
        <f>RHPS[[#This Row],[Strand]]&amp;"-"&amp;RHPS[[#This Row],[QET]]&amp; "-" &amp;RHPS[[#This Row],[COI]]</f>
        <v>1.1.3-Q-COI</v>
      </c>
      <c r="F2" s="15" t="s">
        <v>1575</v>
      </c>
      <c r="G2" s="15" t="s">
        <v>1363</v>
      </c>
      <c r="H2" s="15" t="s">
        <v>1364</v>
      </c>
      <c r="I2" s="15" t="s">
        <v>1365</v>
      </c>
      <c r="J2" s="27" t="s">
        <v>1576</v>
      </c>
    </row>
    <row r="3" spans="1:10" ht="48" customHeight="1" x14ac:dyDescent="0.25">
      <c r="A3" s="22" t="s">
        <v>1500</v>
      </c>
      <c r="B3" s="13" t="s">
        <v>731</v>
      </c>
      <c r="C3" s="13"/>
      <c r="D3" s="13" t="s">
        <v>1073</v>
      </c>
      <c r="E3" s="13" t="str">
        <f>RHPS[[#This Row],[Strand]]&amp;"-"&amp;RHPS[[#This Row],[QET]]&amp; "-" &amp;RHPS[[#This Row],[COI]]</f>
        <v>1.1.3-E-COI</v>
      </c>
      <c r="F3" s="16" t="s">
        <v>1352</v>
      </c>
      <c r="G3" s="16"/>
      <c r="H3" s="16" t="s">
        <v>1353</v>
      </c>
      <c r="I3" s="16"/>
      <c r="J3" s="28" t="s">
        <v>1354</v>
      </c>
    </row>
    <row r="4" spans="1:10" ht="36" x14ac:dyDescent="0.25">
      <c r="A4" s="22" t="s">
        <v>1502</v>
      </c>
      <c r="B4" s="13" t="s">
        <v>750</v>
      </c>
      <c r="C4" s="13">
        <v>1</v>
      </c>
      <c r="D4" s="13" t="s">
        <v>1012</v>
      </c>
      <c r="E4" s="13" t="str">
        <f>RHPS[[#This Row],[Strand]]&amp;"-"&amp;RHPS[[#This Row],[QET]]&amp; "-" &amp;RHPS[[#This Row],[COI]]</f>
        <v>1.2.3-Q-NCOI</v>
      </c>
      <c r="F4" s="16" t="s">
        <v>1577</v>
      </c>
      <c r="G4" s="16" t="s">
        <v>1578</v>
      </c>
      <c r="H4" s="16" t="s">
        <v>1579</v>
      </c>
      <c r="I4" s="16" t="s">
        <v>1580</v>
      </c>
      <c r="J4" s="28" t="s">
        <v>1354</v>
      </c>
    </row>
    <row r="5" spans="1:10" ht="30" x14ac:dyDescent="0.25">
      <c r="A5" s="22" t="s">
        <v>1502</v>
      </c>
      <c r="B5" s="13" t="s">
        <v>750</v>
      </c>
      <c r="C5" s="13">
        <v>1</v>
      </c>
      <c r="D5" s="13" t="s">
        <v>1073</v>
      </c>
      <c r="E5" s="13" t="str">
        <f>RHPS[[#This Row],[Strand]]&amp;"-"&amp;RHPS[[#This Row],[QET]]&amp; "-" &amp;RHPS[[#This Row],[COI]]</f>
        <v>1.2.3-E-NCOI</v>
      </c>
      <c r="F5" s="16" t="s">
        <v>1581</v>
      </c>
      <c r="G5" s="16" t="s">
        <v>1582</v>
      </c>
      <c r="H5" s="16" t="s">
        <v>1583</v>
      </c>
      <c r="I5" s="16" t="s">
        <v>1584</v>
      </c>
      <c r="J5" s="28" t="s">
        <v>1354</v>
      </c>
    </row>
    <row r="6" spans="1:10" ht="30" x14ac:dyDescent="0.25">
      <c r="A6" s="22" t="s">
        <v>1502</v>
      </c>
      <c r="B6" s="13" t="s">
        <v>750</v>
      </c>
      <c r="C6" s="13">
        <v>1</v>
      </c>
      <c r="D6" s="13" t="s">
        <v>1014</v>
      </c>
      <c r="E6" s="13" t="str">
        <f>RHPS[[#This Row],[Strand]]&amp;"-"&amp;RHPS[[#This Row],[QET]]&amp; "-" &amp;RHPS[[#This Row],[COI]]</f>
        <v>1.2.3-T-NCOI</v>
      </c>
      <c r="F6" s="16" t="s">
        <v>1585</v>
      </c>
      <c r="G6" s="16" t="s">
        <v>1586</v>
      </c>
      <c r="H6" s="16" t="s">
        <v>1587</v>
      </c>
      <c r="I6" s="16" t="s">
        <v>1588</v>
      </c>
      <c r="J6" s="28" t="s">
        <v>1354</v>
      </c>
    </row>
    <row r="7" spans="1:10" ht="84" x14ac:dyDescent="0.25">
      <c r="A7" s="22" t="s">
        <v>1504</v>
      </c>
      <c r="B7" s="13" t="s">
        <v>750</v>
      </c>
      <c r="C7" s="13">
        <v>2</v>
      </c>
      <c r="D7" s="13" t="s">
        <v>1012</v>
      </c>
      <c r="E7" s="13" t="str">
        <f>RHPS[[#This Row],[Strand]]&amp;"-"&amp;RHPS[[#This Row],[QET]]&amp; "-" &amp;RHPS[[#This Row],[COI]]</f>
        <v>1.3.3-Q-NCOI</v>
      </c>
      <c r="F7" s="16" t="s">
        <v>1589</v>
      </c>
      <c r="G7" s="16" t="s">
        <v>1590</v>
      </c>
      <c r="H7" s="16" t="s">
        <v>1591</v>
      </c>
      <c r="I7" s="16" t="s">
        <v>1592</v>
      </c>
      <c r="J7" s="28" t="s">
        <v>1354</v>
      </c>
    </row>
    <row r="8" spans="1:10" s="2" customFormat="1" ht="96" x14ac:dyDescent="0.25">
      <c r="A8" s="22" t="s">
        <v>1506</v>
      </c>
      <c r="B8" s="13" t="s">
        <v>750</v>
      </c>
      <c r="C8" s="13">
        <v>3</v>
      </c>
      <c r="D8" s="13" t="s">
        <v>1012</v>
      </c>
      <c r="E8" s="13" t="str">
        <f>RHPS[[#This Row],[Strand]]&amp;"-"&amp;RHPS[[#This Row],[QET]]&amp; "-" &amp;RHPS[[#This Row],[COI]]</f>
        <v>1.4.3-Q-NCOI</v>
      </c>
      <c r="F8" s="16" t="s">
        <v>1593</v>
      </c>
      <c r="G8" s="16" t="s">
        <v>1594</v>
      </c>
      <c r="H8" s="16" t="s">
        <v>1595</v>
      </c>
      <c r="I8" s="16" t="s">
        <v>1596</v>
      </c>
      <c r="J8" s="28" t="s">
        <v>1354</v>
      </c>
    </row>
    <row r="9" spans="1:10" s="2" customFormat="1" ht="60" x14ac:dyDescent="0.25">
      <c r="A9" s="22" t="s">
        <v>1506</v>
      </c>
      <c r="B9" s="13" t="s">
        <v>750</v>
      </c>
      <c r="C9" s="13"/>
      <c r="D9" s="13" t="s">
        <v>1014</v>
      </c>
      <c r="E9" s="13" t="str">
        <f>RHPS[[#This Row],[Strand]]&amp;"-"&amp;RHPS[[#This Row],[QET]]&amp; "-" &amp;RHPS[[#This Row],[COI]]</f>
        <v>1.4.3-T-NCOI</v>
      </c>
      <c r="F9" s="16" t="s">
        <v>1597</v>
      </c>
      <c r="G9" s="16" t="s">
        <v>1598</v>
      </c>
      <c r="H9" s="16" t="s">
        <v>1599</v>
      </c>
      <c r="I9" s="16" t="s">
        <v>1600</v>
      </c>
      <c r="J9" s="28" t="s">
        <v>1354</v>
      </c>
    </row>
    <row r="10" spans="1:10" ht="60" x14ac:dyDescent="0.25">
      <c r="A10" s="22" t="s">
        <v>1508</v>
      </c>
      <c r="B10" s="13" t="s">
        <v>731</v>
      </c>
      <c r="C10" s="13">
        <v>2</v>
      </c>
      <c r="D10" s="13" t="s">
        <v>1012</v>
      </c>
      <c r="E10" s="13" t="str">
        <f>RHPS[[#This Row],[Strand]]&amp;"-"&amp;RHPS[[#This Row],[QET]]&amp; "-" &amp;RHPS[[#This Row],[COI]]</f>
        <v>1.5.3-Q-COI</v>
      </c>
      <c r="F10" s="15" t="s">
        <v>1575</v>
      </c>
      <c r="G10" s="15" t="s">
        <v>1363</v>
      </c>
      <c r="H10" s="15" t="s">
        <v>1364</v>
      </c>
      <c r="I10" s="15" t="s">
        <v>1365</v>
      </c>
      <c r="J10" s="27" t="s">
        <v>1576</v>
      </c>
    </row>
    <row r="11" spans="1:10" ht="24" x14ac:dyDescent="0.25">
      <c r="A11" s="22" t="s">
        <v>1508</v>
      </c>
      <c r="B11" s="13" t="s">
        <v>731</v>
      </c>
      <c r="C11" s="13"/>
      <c r="D11" s="13" t="s">
        <v>1073</v>
      </c>
      <c r="E11" s="13" t="str">
        <f>RHPS[[#This Row],[Strand]]&amp;"-"&amp;RHPS[[#This Row],[QET]]&amp; "-" &amp;RHPS[[#This Row],[COI]]</f>
        <v>1.5.3-E-COI</v>
      </c>
      <c r="F11" s="16" t="s">
        <v>1352</v>
      </c>
      <c r="G11" s="16"/>
      <c r="H11" s="16" t="s">
        <v>1353</v>
      </c>
      <c r="I11" s="16"/>
      <c r="J11" s="28" t="s">
        <v>1354</v>
      </c>
    </row>
    <row r="12" spans="1:10" ht="48" x14ac:dyDescent="0.25">
      <c r="A12" s="22" t="s">
        <v>1510</v>
      </c>
      <c r="B12" s="13" t="s">
        <v>731</v>
      </c>
      <c r="C12" s="13">
        <v>3</v>
      </c>
      <c r="D12" s="13" t="s">
        <v>1012</v>
      </c>
      <c r="E12" s="13" t="str">
        <f>RHPS[[#This Row],[Strand]]&amp;"-"&amp;RHPS[[#This Row],[QET]]&amp; "-" &amp;RHPS[[#This Row],[COI]]</f>
        <v>1.6.3-Q-COI</v>
      </c>
      <c r="F12" s="15" t="s">
        <v>1601</v>
      </c>
      <c r="G12" s="15" t="s">
        <v>1602</v>
      </c>
      <c r="H12" s="15" t="s">
        <v>1603</v>
      </c>
      <c r="I12" s="15" t="s">
        <v>1604</v>
      </c>
      <c r="J12" s="27" t="s">
        <v>1605</v>
      </c>
    </row>
    <row r="13" spans="1:10" ht="24" x14ac:dyDescent="0.25">
      <c r="A13" s="22" t="s">
        <v>1510</v>
      </c>
      <c r="B13" s="13" t="s">
        <v>731</v>
      </c>
      <c r="C13" s="13">
        <v>3</v>
      </c>
      <c r="D13" s="13" t="s">
        <v>1073</v>
      </c>
      <c r="E13" s="13" t="str">
        <f>RHPS[[#This Row],[Strand]]&amp;"-"&amp;RHPS[[#This Row],[QET]]&amp; "-" &amp;RHPS[[#This Row],[COI]]</f>
        <v>1.6.3-E-COI</v>
      </c>
      <c r="F13" s="15" t="s">
        <v>1352</v>
      </c>
      <c r="G13" s="15"/>
      <c r="H13" s="15" t="s">
        <v>1353</v>
      </c>
      <c r="I13" s="15"/>
      <c r="J13" s="27" t="s">
        <v>1354</v>
      </c>
    </row>
    <row r="14" spans="1:10" ht="48" x14ac:dyDescent="0.25">
      <c r="A14" s="22" t="s">
        <v>1512</v>
      </c>
      <c r="B14" s="13" t="s">
        <v>731</v>
      </c>
      <c r="C14" s="13">
        <v>3</v>
      </c>
      <c r="D14" s="13" t="s">
        <v>1012</v>
      </c>
      <c r="E14" s="13" t="str">
        <f>RHPS[[#This Row],[Strand]]&amp;"-"&amp;RHPS[[#This Row],[QET]]&amp; "-" &amp;RHPS[[#This Row],[COI]]</f>
        <v>1.7.3-Q-COI</v>
      </c>
      <c r="F14" s="15" t="s">
        <v>1601</v>
      </c>
      <c r="G14" s="15" t="s">
        <v>1602</v>
      </c>
      <c r="H14" s="15" t="s">
        <v>1603</v>
      </c>
      <c r="I14" s="15" t="s">
        <v>1604</v>
      </c>
      <c r="J14" s="27" t="s">
        <v>1605</v>
      </c>
    </row>
    <row r="15" spans="1:10" ht="24" x14ac:dyDescent="0.25">
      <c r="A15" s="22" t="s">
        <v>1512</v>
      </c>
      <c r="B15" s="13" t="s">
        <v>731</v>
      </c>
      <c r="C15" s="13">
        <v>3</v>
      </c>
      <c r="D15" s="13" t="s">
        <v>1073</v>
      </c>
      <c r="E15" s="13" t="str">
        <f>RHPS[[#This Row],[Strand]]&amp;"-"&amp;RHPS[[#This Row],[QET]]&amp; "-" &amp;RHPS[[#This Row],[COI]]</f>
        <v>1.7.3-E-COI</v>
      </c>
      <c r="F15" s="15" t="s">
        <v>1352</v>
      </c>
      <c r="G15" s="15"/>
      <c r="H15" s="15" t="s">
        <v>1353</v>
      </c>
      <c r="I15" s="15"/>
      <c r="J15" s="27" t="s">
        <v>1354</v>
      </c>
    </row>
    <row r="16" spans="1:10" ht="48" x14ac:dyDescent="0.25">
      <c r="A16" s="22" t="s">
        <v>1514</v>
      </c>
      <c r="B16" s="13" t="s">
        <v>731</v>
      </c>
      <c r="C16" s="13">
        <v>3</v>
      </c>
      <c r="D16" s="13" t="s">
        <v>1012</v>
      </c>
      <c r="E16" s="13" t="str">
        <f>RHPS[[#This Row],[Strand]]&amp;"-"&amp;RHPS[[#This Row],[QET]]&amp; "-" &amp;RHPS[[#This Row],[COI]]</f>
        <v>2.1.3-Q-COI</v>
      </c>
      <c r="F16" s="15" t="s">
        <v>1601</v>
      </c>
      <c r="G16" s="15" t="s">
        <v>1602</v>
      </c>
      <c r="H16" s="15" t="s">
        <v>1603</v>
      </c>
      <c r="I16" s="15" t="s">
        <v>1604</v>
      </c>
      <c r="J16" s="27" t="s">
        <v>1605</v>
      </c>
    </row>
    <row r="17" spans="1:10" ht="24" x14ac:dyDescent="0.25">
      <c r="A17" s="22" t="s">
        <v>1514</v>
      </c>
      <c r="B17" s="13" t="s">
        <v>731</v>
      </c>
      <c r="C17" s="13">
        <v>3</v>
      </c>
      <c r="D17" s="13" t="s">
        <v>1073</v>
      </c>
      <c r="E17" s="13" t="str">
        <f>RHPS[[#This Row],[Strand]]&amp;"-"&amp;RHPS[[#This Row],[QET]]&amp; "-" &amp;RHPS[[#This Row],[COI]]</f>
        <v>2.1.3-E-COI</v>
      </c>
      <c r="F17" s="15" t="s">
        <v>1352</v>
      </c>
      <c r="G17" s="15"/>
      <c r="H17" s="15" t="s">
        <v>1353</v>
      </c>
      <c r="I17" s="15"/>
      <c r="J17" s="27" t="s">
        <v>1354</v>
      </c>
    </row>
    <row r="18" spans="1:10" ht="36" x14ac:dyDescent="0.25">
      <c r="A18" s="22" t="s">
        <v>1516</v>
      </c>
      <c r="B18" s="13" t="s">
        <v>731</v>
      </c>
      <c r="C18" s="13">
        <v>3</v>
      </c>
      <c r="D18" s="13" t="s">
        <v>1012</v>
      </c>
      <c r="E18" s="13" t="str">
        <f>RHPS[[#This Row],[Strand]]&amp;"-"&amp;RHPS[[#This Row],[QET]]&amp; "-" &amp;RHPS[[#This Row],[COI]]</f>
        <v>2.2.3-Q-COI</v>
      </c>
      <c r="F18" s="15" t="s">
        <v>1606</v>
      </c>
      <c r="G18" s="15" t="s">
        <v>1607</v>
      </c>
      <c r="H18" s="15" t="s">
        <v>1608</v>
      </c>
      <c r="I18" s="15" t="s">
        <v>1609</v>
      </c>
      <c r="J18" s="27" t="s">
        <v>1610</v>
      </c>
    </row>
    <row r="19" spans="1:10" ht="24" x14ac:dyDescent="0.25">
      <c r="A19" s="22" t="s">
        <v>1516</v>
      </c>
      <c r="B19" s="13" t="s">
        <v>731</v>
      </c>
      <c r="C19" s="13">
        <v>3</v>
      </c>
      <c r="D19" s="13" t="s">
        <v>1073</v>
      </c>
      <c r="E19" s="13" t="str">
        <f>RHPS[[#This Row],[Strand]]&amp;"-"&amp;RHPS[[#This Row],[QET]]&amp; "-" &amp;RHPS[[#This Row],[COI]]</f>
        <v>2.2.3-E-COI</v>
      </c>
      <c r="F19" s="15" t="s">
        <v>1352</v>
      </c>
      <c r="G19" s="15"/>
      <c r="H19" s="15" t="s">
        <v>1353</v>
      </c>
      <c r="I19" s="15"/>
      <c r="J19" s="27" t="s">
        <v>1354</v>
      </c>
    </row>
    <row r="20" spans="1:10" ht="60" x14ac:dyDescent="0.25">
      <c r="A20" s="22" t="s">
        <v>1518</v>
      </c>
      <c r="B20" s="13" t="s">
        <v>731</v>
      </c>
      <c r="C20" s="13">
        <v>1</v>
      </c>
      <c r="D20" s="13" t="s">
        <v>1012</v>
      </c>
      <c r="E20" s="13" t="str">
        <f>RHPS[[#This Row],[Strand]]&amp;"-"&amp;RHPS[[#This Row],[QET]]&amp; "-" &amp;RHPS[[#This Row],[COI]]</f>
        <v>2.3.3-Q-COI</v>
      </c>
      <c r="F20" s="15" t="s">
        <v>1575</v>
      </c>
      <c r="G20" s="15" t="s">
        <v>1363</v>
      </c>
      <c r="H20" s="15" t="s">
        <v>1364</v>
      </c>
      <c r="I20" s="15" t="s">
        <v>1365</v>
      </c>
      <c r="J20" s="27" t="s">
        <v>1576</v>
      </c>
    </row>
    <row r="21" spans="1:10" ht="24" x14ac:dyDescent="0.25">
      <c r="A21" s="22" t="s">
        <v>1518</v>
      </c>
      <c r="B21" s="13" t="s">
        <v>731</v>
      </c>
      <c r="C21" s="13">
        <v>1</v>
      </c>
      <c r="D21" s="13" t="s">
        <v>1073</v>
      </c>
      <c r="E21" s="13" t="str">
        <f>RHPS[[#This Row],[Strand]]&amp;"-"&amp;RHPS[[#This Row],[QET]]&amp; "-" &amp;RHPS[[#This Row],[COI]]</f>
        <v>2.3.3-E-COI</v>
      </c>
      <c r="F21" s="16" t="s">
        <v>1352</v>
      </c>
      <c r="G21" s="16"/>
      <c r="H21" s="16" t="s">
        <v>1353</v>
      </c>
      <c r="I21" s="16"/>
      <c r="J21" s="28" t="s">
        <v>1354</v>
      </c>
    </row>
    <row r="22" spans="1:10" ht="84" x14ac:dyDescent="0.25">
      <c r="A22" s="22" t="s">
        <v>1520</v>
      </c>
      <c r="B22" s="13" t="s">
        <v>750</v>
      </c>
      <c r="C22" s="13">
        <v>3</v>
      </c>
      <c r="D22" s="13" t="s">
        <v>1012</v>
      </c>
      <c r="E22" s="13" t="str">
        <f>RHPS[[#This Row],[Strand]]&amp;"-"&amp;RHPS[[#This Row],[QET]]&amp; "-" &amp;RHPS[[#This Row],[COI]]</f>
        <v>2.4.3-Q-NCOI</v>
      </c>
      <c r="F22" s="16" t="s">
        <v>1611</v>
      </c>
      <c r="G22" s="16" t="s">
        <v>1612</v>
      </c>
      <c r="H22" s="16" t="s">
        <v>1613</v>
      </c>
      <c r="I22" s="16" t="s">
        <v>1614</v>
      </c>
      <c r="J22" s="28" t="s">
        <v>1354</v>
      </c>
    </row>
    <row r="23" spans="1:10" ht="96" x14ac:dyDescent="0.25">
      <c r="A23" s="22" t="s">
        <v>1522</v>
      </c>
      <c r="B23" s="13" t="s">
        <v>750</v>
      </c>
      <c r="C23" s="13">
        <v>3</v>
      </c>
      <c r="D23" s="13" t="s">
        <v>1012</v>
      </c>
      <c r="E23" s="13" t="str">
        <f>RHPS[[#This Row],[Strand]]&amp;"-"&amp;RHPS[[#This Row],[QET]]&amp; "-" &amp;RHPS[[#This Row],[COI]]</f>
        <v>2.5.3-Q-NCOI</v>
      </c>
      <c r="F23" s="16" t="s">
        <v>1615</v>
      </c>
      <c r="G23" s="16" t="s">
        <v>1616</v>
      </c>
      <c r="H23" s="16" t="s">
        <v>1617</v>
      </c>
      <c r="I23" s="16" t="s">
        <v>1618</v>
      </c>
      <c r="J23" s="28" t="s">
        <v>1354</v>
      </c>
    </row>
    <row r="24" spans="1:10" ht="60" x14ac:dyDescent="0.25">
      <c r="A24" s="22" t="s">
        <v>1524</v>
      </c>
      <c r="B24" s="13" t="s">
        <v>731</v>
      </c>
      <c r="C24" s="13">
        <v>1</v>
      </c>
      <c r="D24" s="13" t="s">
        <v>1012</v>
      </c>
      <c r="E24" s="13" t="str">
        <f>RHPS[[#This Row],[Strand]]&amp;"-"&amp;RHPS[[#This Row],[QET]]&amp; "-" &amp;RHPS[[#This Row],[COI]]</f>
        <v>2.6.3-Q-COI</v>
      </c>
      <c r="F24" s="15" t="s">
        <v>1575</v>
      </c>
      <c r="G24" s="15" t="s">
        <v>1363</v>
      </c>
      <c r="H24" s="15" t="s">
        <v>1364</v>
      </c>
      <c r="I24" s="15" t="s">
        <v>1365</v>
      </c>
      <c r="J24" s="27" t="s">
        <v>1576</v>
      </c>
    </row>
    <row r="25" spans="1:10" ht="24" x14ac:dyDescent="0.25">
      <c r="A25" s="22" t="s">
        <v>1524</v>
      </c>
      <c r="B25" s="13" t="s">
        <v>731</v>
      </c>
      <c r="C25" s="13">
        <v>1</v>
      </c>
      <c r="D25" s="13" t="s">
        <v>1073</v>
      </c>
      <c r="E25" s="13" t="str">
        <f>RHPS[[#This Row],[Strand]]&amp;"-"&amp;RHPS[[#This Row],[QET]]&amp; "-" &amp;RHPS[[#This Row],[COI]]</f>
        <v>2.6.3-E-COI</v>
      </c>
      <c r="F25" s="16" t="s">
        <v>1352</v>
      </c>
      <c r="G25" s="16"/>
      <c r="H25" s="16" t="s">
        <v>1353</v>
      </c>
      <c r="I25" s="16"/>
      <c r="J25" s="28" t="s">
        <v>1354</v>
      </c>
    </row>
    <row r="26" spans="1:10" ht="60" x14ac:dyDescent="0.25">
      <c r="A26" s="22" t="s">
        <v>1526</v>
      </c>
      <c r="B26" s="13" t="s">
        <v>731</v>
      </c>
      <c r="C26" s="13">
        <v>1</v>
      </c>
      <c r="D26" s="13" t="s">
        <v>1012</v>
      </c>
      <c r="E26" s="13" t="str">
        <f>RHPS[[#This Row],[Strand]]&amp;"-"&amp;RHPS[[#This Row],[QET]]&amp; "-" &amp;RHPS[[#This Row],[COI]]</f>
        <v>3.1.3-Q-COI</v>
      </c>
      <c r="F26" s="15" t="s">
        <v>1575</v>
      </c>
      <c r="G26" s="15" t="s">
        <v>1363</v>
      </c>
      <c r="H26" s="15" t="s">
        <v>1364</v>
      </c>
      <c r="I26" s="15" t="s">
        <v>1365</v>
      </c>
      <c r="J26" s="27" t="s">
        <v>1576</v>
      </c>
    </row>
    <row r="27" spans="1:10" ht="24" x14ac:dyDescent="0.25">
      <c r="A27" s="22" t="s">
        <v>1526</v>
      </c>
      <c r="B27" s="13" t="s">
        <v>731</v>
      </c>
      <c r="C27" s="13">
        <v>1</v>
      </c>
      <c r="D27" s="13" t="s">
        <v>1073</v>
      </c>
      <c r="E27" s="13" t="str">
        <f>RHPS[[#This Row],[Strand]]&amp;"-"&amp;RHPS[[#This Row],[QET]]&amp; "-" &amp;RHPS[[#This Row],[COI]]</f>
        <v>3.1.3-E-COI</v>
      </c>
      <c r="F27" s="16" t="s">
        <v>1352</v>
      </c>
      <c r="G27" s="16"/>
      <c r="H27" s="16" t="s">
        <v>1353</v>
      </c>
      <c r="I27" s="16"/>
      <c r="J27" s="28" t="s">
        <v>1354</v>
      </c>
    </row>
    <row r="28" spans="1:10" s="2" customFormat="1" ht="60" x14ac:dyDescent="0.25">
      <c r="A28" s="22" t="s">
        <v>1528</v>
      </c>
      <c r="B28" s="13" t="s">
        <v>731</v>
      </c>
      <c r="C28" s="13">
        <v>11</v>
      </c>
      <c r="D28" s="32" t="s">
        <v>1012</v>
      </c>
      <c r="E28" s="32" t="str">
        <f>RHPS[[#This Row],[Strand]]&amp;"-"&amp;RHPS[[#This Row],[QET]]&amp; "-" &amp;RHPS[[#This Row],[COI]]</f>
        <v>3.2.3-Q-COI</v>
      </c>
      <c r="F28" s="16" t="s">
        <v>1575</v>
      </c>
      <c r="G28" s="15" t="s">
        <v>1363</v>
      </c>
      <c r="H28" s="15" t="s">
        <v>1364</v>
      </c>
      <c r="I28" s="15" t="s">
        <v>1365</v>
      </c>
      <c r="J28" s="27" t="s">
        <v>1576</v>
      </c>
    </row>
    <row r="29" spans="1:10" ht="24" x14ac:dyDescent="0.25">
      <c r="A29" s="22" t="s">
        <v>1528</v>
      </c>
      <c r="B29" s="13" t="s">
        <v>731</v>
      </c>
      <c r="C29" s="13">
        <v>1</v>
      </c>
      <c r="D29" s="13" t="s">
        <v>1073</v>
      </c>
      <c r="E29" s="13" t="str">
        <f>RHPS[[#This Row],[Strand]]&amp;"-"&amp;RHPS[[#This Row],[QET]]&amp; "-" &amp;RHPS[[#This Row],[COI]]</f>
        <v>3.2.3-E-COI</v>
      </c>
      <c r="F29" s="16" t="s">
        <v>1352</v>
      </c>
      <c r="G29" s="16"/>
      <c r="H29" s="16" t="s">
        <v>1353</v>
      </c>
      <c r="I29" s="16"/>
      <c r="J29" s="28" t="s">
        <v>1354</v>
      </c>
    </row>
    <row r="30" spans="1:10" ht="36" x14ac:dyDescent="0.25">
      <c r="A30" s="22" t="s">
        <v>1530</v>
      </c>
      <c r="B30" s="13" t="s">
        <v>731</v>
      </c>
      <c r="C30" s="13">
        <v>3</v>
      </c>
      <c r="D30" s="13" t="s">
        <v>1012</v>
      </c>
      <c r="E30" s="13" t="str">
        <f>RHPS[[#This Row],[Strand]]&amp;"-"&amp;RHPS[[#This Row],[QET]]&amp; "-" &amp;RHPS[[#This Row],[COI]]</f>
        <v>3.3.3-Q-COI</v>
      </c>
      <c r="F30" s="15" t="s">
        <v>1606</v>
      </c>
      <c r="G30" s="15" t="s">
        <v>1607</v>
      </c>
      <c r="H30" s="15" t="s">
        <v>1608</v>
      </c>
      <c r="I30" s="15" t="s">
        <v>1609</v>
      </c>
      <c r="J30" s="27" t="s">
        <v>1610</v>
      </c>
    </row>
    <row r="31" spans="1:10" ht="36" x14ac:dyDescent="0.25">
      <c r="A31" s="22" t="s">
        <v>1530</v>
      </c>
      <c r="B31" s="13" t="s">
        <v>750</v>
      </c>
      <c r="C31" s="13">
        <v>3</v>
      </c>
      <c r="D31" s="13" t="s">
        <v>1012</v>
      </c>
      <c r="E31" s="13" t="str">
        <f>RHPS[[#This Row],[Strand]]&amp;"-"&amp;RHPS[[#This Row],[QET]]&amp; "-" &amp;RHPS[[#This Row],[COI]]</f>
        <v>3.3.3-Q-NCOI</v>
      </c>
      <c r="F31" s="16" t="s">
        <v>1381</v>
      </c>
      <c r="G31" s="16" t="s">
        <v>1382</v>
      </c>
      <c r="H31" s="16" t="s">
        <v>1383</v>
      </c>
      <c r="I31" s="16" t="s">
        <v>1384</v>
      </c>
      <c r="J31" s="28" t="s">
        <v>1385</v>
      </c>
    </row>
    <row r="32" spans="1:10" ht="36" x14ac:dyDescent="0.25">
      <c r="A32" s="22" t="s">
        <v>1532</v>
      </c>
      <c r="B32" s="13" t="s">
        <v>731</v>
      </c>
      <c r="C32" s="13">
        <v>2</v>
      </c>
      <c r="D32" s="13" t="s">
        <v>1012</v>
      </c>
      <c r="E32" s="13" t="str">
        <f>RHPS[[#This Row],[Strand]]&amp;"-"&amp;RHPS[[#This Row],[QET]]&amp; "-" &amp;RHPS[[#This Row],[COI]]</f>
        <v>3.4.3-Q-COI</v>
      </c>
      <c r="F32" s="15" t="s">
        <v>1606</v>
      </c>
      <c r="G32" s="15" t="s">
        <v>1607</v>
      </c>
      <c r="H32" s="15" t="s">
        <v>1608</v>
      </c>
      <c r="I32" s="15" t="s">
        <v>1609</v>
      </c>
      <c r="J32" s="27" t="s">
        <v>1610</v>
      </c>
    </row>
    <row r="33" spans="1:10" ht="72" x14ac:dyDescent="0.25">
      <c r="A33" s="22" t="s">
        <v>1534</v>
      </c>
      <c r="B33" s="13" t="s">
        <v>731</v>
      </c>
      <c r="C33" s="13">
        <v>3</v>
      </c>
      <c r="D33" s="13" t="s">
        <v>1012</v>
      </c>
      <c r="E33" s="13" t="str">
        <f>RHPS[[#This Row],[Strand]]&amp;"-"&amp;RHPS[[#This Row],[QET]]&amp; "-" &amp;RHPS[[#This Row],[COI]]</f>
        <v>3.5.3-Q-COI</v>
      </c>
      <c r="F33" s="15" t="s">
        <v>1619</v>
      </c>
      <c r="G33" s="15" t="s">
        <v>1620</v>
      </c>
      <c r="H33" s="15" t="s">
        <v>1621</v>
      </c>
      <c r="I33" s="15" t="s">
        <v>1622</v>
      </c>
      <c r="J33" s="27" t="s">
        <v>1623</v>
      </c>
    </row>
    <row r="34" spans="1:10" ht="30" x14ac:dyDescent="0.25">
      <c r="A34" s="22" t="s">
        <v>1534</v>
      </c>
      <c r="B34" s="13" t="s">
        <v>750</v>
      </c>
      <c r="C34" s="13">
        <v>3</v>
      </c>
      <c r="D34" s="13" t="s">
        <v>1073</v>
      </c>
      <c r="E34" s="13" t="str">
        <f>RHPS[[#This Row],[Strand]]&amp;"-"&amp;RHPS[[#This Row],[QET]]&amp; "-" &amp;RHPS[[#This Row],[COI]]</f>
        <v>3.5.3-E-NCOI</v>
      </c>
      <c r="F34" s="16" t="s">
        <v>1352</v>
      </c>
      <c r="G34" s="16"/>
      <c r="H34" s="16" t="s">
        <v>1353</v>
      </c>
      <c r="I34" s="16"/>
      <c r="J34" s="28" t="s">
        <v>1354</v>
      </c>
    </row>
    <row r="35" spans="1:10" ht="60" x14ac:dyDescent="0.25">
      <c r="A35" s="22" t="s">
        <v>1536</v>
      </c>
      <c r="B35" s="13" t="s">
        <v>731</v>
      </c>
      <c r="C35" s="13">
        <v>1</v>
      </c>
      <c r="D35" s="13" t="s">
        <v>1012</v>
      </c>
      <c r="E35" s="13" t="str">
        <f>RHPS[[#This Row],[Strand]]&amp;"-"&amp;RHPS[[#This Row],[QET]]&amp; "-" &amp;RHPS[[#This Row],[COI]]</f>
        <v>4.1.3-Q-COI</v>
      </c>
      <c r="F35" s="15" t="s">
        <v>1575</v>
      </c>
      <c r="G35" s="15" t="s">
        <v>1363</v>
      </c>
      <c r="H35" s="15" t="s">
        <v>1364</v>
      </c>
      <c r="I35" s="15" t="s">
        <v>1365</v>
      </c>
      <c r="J35" s="27" t="s">
        <v>1576</v>
      </c>
    </row>
    <row r="36" spans="1:10" ht="24" x14ac:dyDescent="0.25">
      <c r="A36" s="22" t="s">
        <v>1536</v>
      </c>
      <c r="B36" s="13" t="s">
        <v>731</v>
      </c>
      <c r="C36" s="13">
        <v>1</v>
      </c>
      <c r="D36" s="13" t="s">
        <v>1073</v>
      </c>
      <c r="E36" s="13" t="str">
        <f>RHPS[[#This Row],[Strand]]&amp;"-"&amp;RHPS[[#This Row],[QET]]&amp; "-" &amp;RHPS[[#This Row],[COI]]</f>
        <v>4.1.3-E-COI</v>
      </c>
      <c r="F36" s="16" t="s">
        <v>1352</v>
      </c>
      <c r="G36" s="16"/>
      <c r="H36" s="16" t="s">
        <v>1353</v>
      </c>
      <c r="I36" s="16"/>
      <c r="J36" s="28" t="s">
        <v>1354</v>
      </c>
    </row>
    <row r="37" spans="1:10" ht="96" x14ac:dyDescent="0.25">
      <c r="A37" s="22" t="s">
        <v>1538</v>
      </c>
      <c r="B37" s="13" t="s">
        <v>750</v>
      </c>
      <c r="C37" s="13">
        <v>2</v>
      </c>
      <c r="D37" s="13" t="s">
        <v>1012</v>
      </c>
      <c r="E37" s="13" t="str">
        <f>RHPS[[#This Row],[Strand]]&amp;"-"&amp;RHPS[[#This Row],[QET]]&amp; "-" &amp;RHPS[[#This Row],[COI]]</f>
        <v>4.2.3-Q-NCOI</v>
      </c>
      <c r="F37" s="16" t="s">
        <v>1624</v>
      </c>
      <c r="G37" s="16" t="s">
        <v>1625</v>
      </c>
      <c r="H37" s="16" t="s">
        <v>1626</v>
      </c>
      <c r="I37" s="16" t="s">
        <v>1627</v>
      </c>
      <c r="J37" s="28" t="s">
        <v>1354</v>
      </c>
    </row>
    <row r="38" spans="1:10" ht="60" x14ac:dyDescent="0.25">
      <c r="A38" s="22" t="s">
        <v>1538</v>
      </c>
      <c r="B38" s="13" t="s">
        <v>750</v>
      </c>
      <c r="C38" s="13"/>
      <c r="D38" s="13" t="s">
        <v>1014</v>
      </c>
      <c r="E38" s="13" t="str">
        <f>RHPS[[#This Row],[Strand]]&amp;"-"&amp;RHPS[[#This Row],[QET]]&amp; "-" &amp;RHPS[[#This Row],[COI]]</f>
        <v>4.2.3-T-NCOI</v>
      </c>
      <c r="F38" s="16" t="s">
        <v>1628</v>
      </c>
      <c r="G38" s="16" t="s">
        <v>1629</v>
      </c>
      <c r="H38" s="16" t="s">
        <v>1630</v>
      </c>
      <c r="I38" s="16" t="s">
        <v>1631</v>
      </c>
      <c r="J38" s="16" t="s">
        <v>1354</v>
      </c>
    </row>
    <row r="39" spans="1:10" ht="72" x14ac:dyDescent="0.25">
      <c r="A39" s="22" t="s">
        <v>1540</v>
      </c>
      <c r="B39" s="13" t="s">
        <v>750</v>
      </c>
      <c r="C39" s="13">
        <v>3</v>
      </c>
      <c r="D39" s="13" t="s">
        <v>1012</v>
      </c>
      <c r="E39" s="13" t="str">
        <f>RHPS[[#This Row],[Strand]]&amp;"-"&amp;RHPS[[#This Row],[QET]]&amp; "-" &amp;RHPS[[#This Row],[COI]]</f>
        <v>4.3.3-Q-NCOI</v>
      </c>
      <c r="F39" s="16" t="s">
        <v>1632</v>
      </c>
      <c r="G39" s="16" t="s">
        <v>1633</v>
      </c>
      <c r="H39" s="16" t="s">
        <v>1634</v>
      </c>
      <c r="I39" s="16" t="s">
        <v>1635</v>
      </c>
      <c r="J39" s="28" t="s">
        <v>1354</v>
      </c>
    </row>
    <row r="40" spans="1:10" ht="96" x14ac:dyDescent="0.25">
      <c r="A40" s="22" t="s">
        <v>1542</v>
      </c>
      <c r="B40" s="13" t="s">
        <v>750</v>
      </c>
      <c r="C40" s="13">
        <v>1</v>
      </c>
      <c r="D40" s="13" t="s">
        <v>1012</v>
      </c>
      <c r="E40" s="13" t="str">
        <f>RHPS[[#This Row],[Strand]]&amp;"-"&amp;RHPS[[#This Row],[QET]]&amp; "-" &amp;RHPS[[#This Row],[COI]]</f>
        <v>4.4.3-Q-NCOI</v>
      </c>
      <c r="F40" s="16" t="s">
        <v>1636</v>
      </c>
      <c r="G40" s="16" t="s">
        <v>1637</v>
      </c>
      <c r="H40" s="16" t="s">
        <v>1638</v>
      </c>
      <c r="I40" s="16" t="s">
        <v>1639</v>
      </c>
      <c r="J40" s="28" t="s">
        <v>1354</v>
      </c>
    </row>
    <row r="41" spans="1:10" ht="36" x14ac:dyDescent="0.25">
      <c r="A41" s="22" t="s">
        <v>1542</v>
      </c>
      <c r="B41" s="13" t="s">
        <v>750</v>
      </c>
      <c r="C41" s="13">
        <v>1</v>
      </c>
      <c r="D41" s="13" t="s">
        <v>1014</v>
      </c>
      <c r="E41" s="13" t="str">
        <f>RHPS[[#This Row],[Strand]]&amp;"-"&amp;RHPS[[#This Row],[QET]]&amp; "-" &amp;RHPS[[#This Row],[COI]]</f>
        <v>4.4.3-T-NCOI</v>
      </c>
      <c r="F41" s="16" t="s">
        <v>1640</v>
      </c>
      <c r="G41" s="16" t="s">
        <v>1641</v>
      </c>
      <c r="H41" s="16" t="s">
        <v>1642</v>
      </c>
      <c r="I41" s="16" t="s">
        <v>1643</v>
      </c>
      <c r="J41" s="28" t="s">
        <v>1354</v>
      </c>
    </row>
    <row r="42" spans="1:10" ht="120" x14ac:dyDescent="0.25">
      <c r="A42" s="22" t="s">
        <v>1544</v>
      </c>
      <c r="B42" s="13" t="s">
        <v>750</v>
      </c>
      <c r="C42" s="13">
        <v>2</v>
      </c>
      <c r="D42" s="13" t="s">
        <v>1012</v>
      </c>
      <c r="E42" s="13" t="str">
        <f>RHPS[[#This Row],[Strand]]&amp;"-"&amp;RHPS[[#This Row],[QET]]&amp; "-" &amp;RHPS[[#This Row],[COI]]</f>
        <v>4.5.3-Q-NCOI</v>
      </c>
      <c r="F42" s="15" t="s">
        <v>1644</v>
      </c>
      <c r="G42" s="15" t="s">
        <v>1645</v>
      </c>
      <c r="H42" s="15" t="s">
        <v>1646</v>
      </c>
      <c r="I42" s="15" t="s">
        <v>1647</v>
      </c>
      <c r="J42" s="28" t="s">
        <v>1354</v>
      </c>
    </row>
    <row r="43" spans="1:10" ht="30" x14ac:dyDescent="0.25">
      <c r="A43" s="22" t="s">
        <v>1544</v>
      </c>
      <c r="B43" s="13" t="s">
        <v>750</v>
      </c>
      <c r="C43" s="13"/>
      <c r="D43" s="13" t="s">
        <v>1014</v>
      </c>
      <c r="E43" s="13" t="str">
        <f>RHPS[[#This Row],[Strand]]&amp;"-"&amp;RHPS[[#This Row],[QET]]&amp; "-" &amp;RHPS[[#This Row],[COI]]</f>
        <v>4.5.3-T-NCOI</v>
      </c>
      <c r="F43" s="16" t="s">
        <v>1648</v>
      </c>
      <c r="G43" s="16" t="s">
        <v>1649</v>
      </c>
      <c r="H43" s="16" t="s">
        <v>1650</v>
      </c>
      <c r="I43" s="16" t="s">
        <v>1651</v>
      </c>
      <c r="J43" s="28" t="s">
        <v>1354</v>
      </c>
    </row>
    <row r="44" spans="1:10" ht="132" x14ac:dyDescent="0.25">
      <c r="A44" s="22" t="s">
        <v>1546</v>
      </c>
      <c r="B44" s="13" t="s">
        <v>750</v>
      </c>
      <c r="C44" s="13">
        <v>1</v>
      </c>
      <c r="D44" s="13" t="s">
        <v>1012</v>
      </c>
      <c r="E44" s="13" t="str">
        <f>RHPS[[#This Row],[Strand]]&amp;"-"&amp;RHPS[[#This Row],[QET]]&amp; "-" &amp;RHPS[[#This Row],[COI]]</f>
        <v>5.1.3-Q-NCOI</v>
      </c>
      <c r="F44" s="16" t="s">
        <v>1652</v>
      </c>
      <c r="G44" s="16" t="s">
        <v>1653</v>
      </c>
      <c r="H44" s="16" t="s">
        <v>1654</v>
      </c>
      <c r="I44" s="16" t="s">
        <v>1655</v>
      </c>
      <c r="J44" s="28" t="s">
        <v>1354</v>
      </c>
    </row>
    <row r="45" spans="1:10" ht="30" x14ac:dyDescent="0.25">
      <c r="A45" s="22" t="s">
        <v>1546</v>
      </c>
      <c r="B45" s="13" t="s">
        <v>750</v>
      </c>
      <c r="C45" s="13">
        <v>1</v>
      </c>
      <c r="D45" s="13" t="s">
        <v>1014</v>
      </c>
      <c r="E45" s="13" t="str">
        <f>RHPS[[#This Row],[Strand]]&amp;"-"&amp;RHPS[[#This Row],[QET]]&amp; "-" &amp;RHPS[[#This Row],[COI]]</f>
        <v>5.1.3-T-NCOI</v>
      </c>
      <c r="F45" s="16" t="s">
        <v>1656</v>
      </c>
      <c r="G45" s="16" t="s">
        <v>1657</v>
      </c>
      <c r="H45" s="16" t="s">
        <v>1658</v>
      </c>
      <c r="I45" s="16" t="s">
        <v>1659</v>
      </c>
      <c r="J45" s="28" t="s">
        <v>1354</v>
      </c>
    </row>
    <row r="46" spans="1:10" ht="120" x14ac:dyDescent="0.25">
      <c r="A46" s="22" t="s">
        <v>1548</v>
      </c>
      <c r="B46" s="13" t="s">
        <v>750</v>
      </c>
      <c r="C46" s="13">
        <v>1</v>
      </c>
      <c r="D46" s="13" t="s">
        <v>1012</v>
      </c>
      <c r="E46" s="13" t="str">
        <f>RHPS[[#This Row],[Strand]]&amp;"-"&amp;RHPS[[#This Row],[QET]]&amp; "-" &amp;RHPS[[#This Row],[COI]]</f>
        <v>5.2.3-Q-NCOI</v>
      </c>
      <c r="F46" s="16" t="s">
        <v>1660</v>
      </c>
      <c r="G46" s="16" t="s">
        <v>1661</v>
      </c>
      <c r="H46" s="16" t="s">
        <v>1662</v>
      </c>
      <c r="I46" s="16" t="s">
        <v>1663</v>
      </c>
      <c r="J46" s="28" t="s">
        <v>1354</v>
      </c>
    </row>
    <row r="47" spans="1:10" ht="36" x14ac:dyDescent="0.25">
      <c r="A47" s="22" t="s">
        <v>1548</v>
      </c>
      <c r="B47" s="13" t="s">
        <v>750</v>
      </c>
      <c r="C47" s="13">
        <v>1</v>
      </c>
      <c r="D47" s="13" t="s">
        <v>1014</v>
      </c>
      <c r="E47" s="13" t="str">
        <f>RHPS[[#This Row],[Strand]]&amp;"-"&amp;RHPS[[#This Row],[QET]]&amp; "-" &amp;RHPS[[#This Row],[COI]]</f>
        <v>5.2.3-T-NCOI</v>
      </c>
      <c r="F47" s="16" t="s">
        <v>1664</v>
      </c>
      <c r="G47" s="16" t="s">
        <v>1665</v>
      </c>
      <c r="H47" s="16" t="s">
        <v>1666</v>
      </c>
      <c r="I47" s="16" t="s">
        <v>1667</v>
      </c>
      <c r="J47" s="28" t="s">
        <v>1354</v>
      </c>
    </row>
    <row r="48" spans="1:10" ht="60" x14ac:dyDescent="0.25">
      <c r="A48" s="22" t="s">
        <v>1550</v>
      </c>
      <c r="B48" s="13" t="s">
        <v>731</v>
      </c>
      <c r="C48" s="13">
        <v>2</v>
      </c>
      <c r="D48" s="13" t="s">
        <v>1012</v>
      </c>
      <c r="E48" s="13" t="str">
        <f>RHPS[[#This Row],[Strand]]&amp;"-"&amp;RHPS[[#This Row],[QET]]&amp; "-" &amp;RHPS[[#This Row],[COI]]</f>
        <v>5.3.3-Q-COI</v>
      </c>
      <c r="F48" s="15" t="s">
        <v>1575</v>
      </c>
      <c r="G48" s="15" t="s">
        <v>1363</v>
      </c>
      <c r="H48" s="15" t="s">
        <v>1364</v>
      </c>
      <c r="I48" s="15" t="s">
        <v>1365</v>
      </c>
      <c r="J48" s="27" t="s">
        <v>1576</v>
      </c>
    </row>
    <row r="49" spans="1:10" ht="24" x14ac:dyDescent="0.25">
      <c r="A49" s="22" t="s">
        <v>1550</v>
      </c>
      <c r="B49" s="13" t="s">
        <v>731</v>
      </c>
      <c r="C49" s="13">
        <v>2</v>
      </c>
      <c r="D49" s="13" t="s">
        <v>1073</v>
      </c>
      <c r="E49" s="13" t="str">
        <f>RHPS[[#This Row],[Strand]]&amp;"-"&amp;RHPS[[#This Row],[QET]]&amp; "-" &amp;RHPS[[#This Row],[COI]]</f>
        <v>5.3.3-E-COI</v>
      </c>
      <c r="F49" s="16" t="s">
        <v>1352</v>
      </c>
      <c r="G49" s="16"/>
      <c r="H49" s="16" t="s">
        <v>1353</v>
      </c>
      <c r="I49" s="16"/>
      <c r="J49" s="28" t="s">
        <v>1354</v>
      </c>
    </row>
    <row r="50" spans="1:10" ht="72" x14ac:dyDescent="0.25">
      <c r="A50" s="22" t="s">
        <v>1552</v>
      </c>
      <c r="B50" s="13" t="s">
        <v>750</v>
      </c>
      <c r="C50" s="13">
        <v>1</v>
      </c>
      <c r="D50" s="13" t="s">
        <v>1012</v>
      </c>
      <c r="E50" s="13" t="str">
        <f>RHPS[[#This Row],[Strand]]&amp;"-"&amp;RHPS[[#This Row],[QET]]&amp; "-" &amp;RHPS[[#This Row],[COI]]</f>
        <v>5.4.3-Q-NCOI</v>
      </c>
      <c r="F50" s="16" t="s">
        <v>1668</v>
      </c>
      <c r="G50" s="16" t="s">
        <v>1669</v>
      </c>
      <c r="H50" s="16" t="s">
        <v>1670</v>
      </c>
      <c r="I50" s="16" t="s">
        <v>1671</v>
      </c>
      <c r="J50" s="28" t="s">
        <v>1354</v>
      </c>
    </row>
    <row r="51" spans="1:10" ht="48" x14ac:dyDescent="0.25">
      <c r="A51" s="22" t="s">
        <v>1552</v>
      </c>
      <c r="B51" s="13" t="s">
        <v>750</v>
      </c>
      <c r="C51" s="13">
        <v>1</v>
      </c>
      <c r="D51" s="13" t="s">
        <v>1014</v>
      </c>
      <c r="E51" s="13" t="str">
        <f>RHPS[[#This Row],[Strand]]&amp;"-"&amp;RHPS[[#This Row],[QET]]&amp; "-" &amp;RHPS[[#This Row],[COI]]</f>
        <v>5.4.3-T-NCOI</v>
      </c>
      <c r="F51" s="16" t="s">
        <v>1672</v>
      </c>
      <c r="G51" s="16" t="s">
        <v>1673</v>
      </c>
      <c r="H51" s="16" t="s">
        <v>1674</v>
      </c>
      <c r="I51" s="16" t="s">
        <v>1675</v>
      </c>
      <c r="J51" s="28" t="s">
        <v>1354</v>
      </c>
    </row>
    <row r="52" spans="1:10" ht="108" x14ac:dyDescent="0.25">
      <c r="A52" s="22" t="s">
        <v>1554</v>
      </c>
      <c r="B52" s="13" t="s">
        <v>750</v>
      </c>
      <c r="C52" s="13">
        <v>3</v>
      </c>
      <c r="D52" s="13" t="s">
        <v>1012</v>
      </c>
      <c r="E52" s="13" t="str">
        <f>RHPS[[#This Row],[Strand]]&amp;"-"&amp;RHPS[[#This Row],[QET]]&amp; "-" &amp;RHPS[[#This Row],[COI]]</f>
        <v>5.5.3-Q-NCOI</v>
      </c>
      <c r="F52" s="16" t="s">
        <v>1676</v>
      </c>
      <c r="G52" s="16" t="s">
        <v>1677</v>
      </c>
      <c r="H52" s="16" t="s">
        <v>1678</v>
      </c>
      <c r="I52" s="16" t="s">
        <v>1679</v>
      </c>
      <c r="J52" s="28" t="s">
        <v>1354</v>
      </c>
    </row>
    <row r="53" spans="1:10" ht="36" x14ac:dyDescent="0.25">
      <c r="A53" s="22" t="s">
        <v>1554</v>
      </c>
      <c r="B53" s="13" t="s">
        <v>750</v>
      </c>
      <c r="C53" s="13"/>
      <c r="D53" s="13" t="s">
        <v>1014</v>
      </c>
      <c r="E53" s="13" t="str">
        <f>RHPS[[#This Row],[Strand]]&amp;"-"&amp;RHPS[[#This Row],[QET]]&amp; "-" &amp;RHPS[[#This Row],[COI]]</f>
        <v>5.5.3-T-NCOI</v>
      </c>
      <c r="F53" s="16" t="s">
        <v>1664</v>
      </c>
      <c r="G53" s="16" t="s">
        <v>1680</v>
      </c>
      <c r="H53" s="16" t="s">
        <v>1681</v>
      </c>
      <c r="I53" s="16" t="s">
        <v>1682</v>
      </c>
      <c r="J53" s="28" t="s">
        <v>1354</v>
      </c>
    </row>
    <row r="54" spans="1:10" ht="96" x14ac:dyDescent="0.25">
      <c r="A54" s="22" t="s">
        <v>1556</v>
      </c>
      <c r="B54" s="13" t="s">
        <v>750</v>
      </c>
      <c r="C54" s="13">
        <v>3</v>
      </c>
      <c r="D54" s="13" t="s">
        <v>1012</v>
      </c>
      <c r="E54" s="13" t="str">
        <f>RHPS[[#This Row],[Strand]]&amp;"-"&amp;RHPS[[#This Row],[QET]]&amp; "-" &amp;RHPS[[#This Row],[COI]]</f>
        <v>6.1.3-Q-NCOI</v>
      </c>
      <c r="F54" s="16" t="s">
        <v>1683</v>
      </c>
      <c r="G54" s="16" t="s">
        <v>1684</v>
      </c>
      <c r="H54" s="16" t="s">
        <v>1685</v>
      </c>
      <c r="I54" s="16" t="s">
        <v>1686</v>
      </c>
      <c r="J54" s="28" t="s">
        <v>1354</v>
      </c>
    </row>
    <row r="55" spans="1:10" ht="84" x14ac:dyDescent="0.25">
      <c r="A55" s="22" t="s">
        <v>1558</v>
      </c>
      <c r="B55" s="13" t="s">
        <v>750</v>
      </c>
      <c r="C55" s="13">
        <v>2</v>
      </c>
      <c r="D55" s="13" t="s">
        <v>1012</v>
      </c>
      <c r="E55" s="13" t="str">
        <f>RHPS[[#This Row],[Strand]]&amp;"-"&amp;RHPS[[#This Row],[QET]]&amp; "-" &amp;RHPS[[#This Row],[COI]]</f>
        <v>6.2.3-Q-NCOI</v>
      </c>
      <c r="F55" s="16" t="s">
        <v>1687</v>
      </c>
      <c r="G55" s="16" t="s">
        <v>1688</v>
      </c>
      <c r="H55" s="16" t="s">
        <v>1689</v>
      </c>
      <c r="I55" s="16" t="s">
        <v>1690</v>
      </c>
      <c r="J55" s="28" t="s">
        <v>1354</v>
      </c>
    </row>
    <row r="56" spans="1:10" ht="30" x14ac:dyDescent="0.25">
      <c r="A56" s="22" t="s">
        <v>1558</v>
      </c>
      <c r="B56" s="13" t="s">
        <v>750</v>
      </c>
      <c r="C56" s="13">
        <v>2</v>
      </c>
      <c r="D56" s="13" t="s">
        <v>1014</v>
      </c>
      <c r="E56" s="13" t="str">
        <f>RHPS[[#This Row],[Strand]]&amp;"-"&amp;RHPS[[#This Row],[QET]]&amp; "-" &amp;RHPS[[#This Row],[COI]]</f>
        <v>6.2.3-T-NCOI</v>
      </c>
      <c r="F56" s="16" t="s">
        <v>1691</v>
      </c>
      <c r="G56" s="16" t="s">
        <v>1692</v>
      </c>
      <c r="H56" s="16" t="s">
        <v>1693</v>
      </c>
      <c r="I56" s="16" t="s">
        <v>1694</v>
      </c>
      <c r="J56" s="28" t="s">
        <v>1354</v>
      </c>
    </row>
    <row r="57" spans="1:10" ht="96" x14ac:dyDescent="0.25">
      <c r="A57" s="22" t="s">
        <v>1560</v>
      </c>
      <c r="B57" s="13" t="s">
        <v>750</v>
      </c>
      <c r="C57" s="13">
        <v>3</v>
      </c>
      <c r="D57" s="13" t="s">
        <v>1012</v>
      </c>
      <c r="E57" s="13" t="str">
        <f>RHPS[[#This Row],[Strand]]&amp;"-"&amp;RHPS[[#This Row],[QET]]&amp; "-" &amp;RHPS[[#This Row],[COI]]</f>
        <v>6.3.3-Q-NCOI</v>
      </c>
      <c r="F57" s="16" t="s">
        <v>1695</v>
      </c>
      <c r="G57" s="16" t="s">
        <v>1696</v>
      </c>
      <c r="H57" s="16" t="s">
        <v>1697</v>
      </c>
      <c r="I57" s="16" t="s">
        <v>1698</v>
      </c>
      <c r="J57" s="28" t="s">
        <v>1354</v>
      </c>
    </row>
    <row r="58" spans="1:10" ht="48" x14ac:dyDescent="0.25">
      <c r="A58" s="22" t="s">
        <v>1562</v>
      </c>
      <c r="B58" s="13" t="s">
        <v>750</v>
      </c>
      <c r="C58" s="13">
        <v>3</v>
      </c>
      <c r="D58" s="13" t="s">
        <v>1012</v>
      </c>
      <c r="E58" s="13" t="str">
        <f>RHPS[[#This Row],[Strand]]&amp;"-"&amp;RHPS[[#This Row],[QET]]&amp; "-" &amp;RHPS[[#This Row],[COI]]</f>
        <v>6.4.3-Q-NCOI</v>
      </c>
      <c r="F58" s="16" t="s">
        <v>1699</v>
      </c>
      <c r="G58" s="16" t="s">
        <v>1700</v>
      </c>
      <c r="H58" s="16" t="s">
        <v>1701</v>
      </c>
      <c r="I58" s="16" t="s">
        <v>1702</v>
      </c>
      <c r="J58" s="28" t="s">
        <v>1703</v>
      </c>
    </row>
    <row r="59" spans="1:10" ht="72" x14ac:dyDescent="0.25">
      <c r="A59" s="22" t="s">
        <v>1564</v>
      </c>
      <c r="B59" s="13" t="s">
        <v>750</v>
      </c>
      <c r="C59" s="13">
        <v>3</v>
      </c>
      <c r="D59" s="13" t="s">
        <v>1012</v>
      </c>
      <c r="E59" s="13" t="str">
        <f>RHPS[[#This Row],[Strand]]&amp;"-"&amp;RHPS[[#This Row],[QET]]&amp; "-" &amp;RHPS[[#This Row],[COI]]</f>
        <v>7.1.3-Q-NCOI</v>
      </c>
      <c r="F59" s="16" t="s">
        <v>1704</v>
      </c>
      <c r="G59" s="16" t="s">
        <v>1705</v>
      </c>
      <c r="H59" s="16" t="s">
        <v>1457</v>
      </c>
      <c r="I59" s="16" t="s">
        <v>1458</v>
      </c>
      <c r="J59" s="28" t="s">
        <v>1354</v>
      </c>
    </row>
    <row r="60" spans="1:10" ht="36" x14ac:dyDescent="0.25">
      <c r="A60" s="22" t="s">
        <v>1564</v>
      </c>
      <c r="B60" s="13" t="s">
        <v>750</v>
      </c>
      <c r="C60" s="13"/>
      <c r="D60" s="13" t="s">
        <v>1014</v>
      </c>
      <c r="E60" s="13" t="str">
        <f>RHPS[[#This Row],[Strand]]&amp;"-"&amp;RHPS[[#This Row],[QET]]&amp; "-" &amp;RHPS[[#This Row],[COI]]</f>
        <v>7.1.3-T-NCOI</v>
      </c>
      <c r="F60" s="16" t="s">
        <v>1706</v>
      </c>
      <c r="G60" s="16" t="s">
        <v>1707</v>
      </c>
      <c r="H60" s="16" t="s">
        <v>1461</v>
      </c>
      <c r="I60" s="16" t="s">
        <v>1708</v>
      </c>
      <c r="J60" s="28" t="s">
        <v>1354</v>
      </c>
    </row>
    <row r="61" spans="1:10" ht="108" x14ac:dyDescent="0.25">
      <c r="A61" s="22" t="s">
        <v>1566</v>
      </c>
      <c r="B61" s="13" t="s">
        <v>750</v>
      </c>
      <c r="C61" s="13">
        <v>3</v>
      </c>
      <c r="D61" s="13" t="s">
        <v>1012</v>
      </c>
      <c r="E61" s="13" t="str">
        <f>RHPS[[#This Row],[Strand]]&amp;"-"&amp;RHPS[[#This Row],[QET]]&amp; "-" &amp;RHPS[[#This Row],[COI]]</f>
        <v>7.2.3-Q-NCOI</v>
      </c>
      <c r="F61" s="17" t="s">
        <v>1709</v>
      </c>
      <c r="G61" s="17" t="s">
        <v>1710</v>
      </c>
      <c r="H61" s="17" t="s">
        <v>1711</v>
      </c>
      <c r="I61" s="16" t="s">
        <v>1712</v>
      </c>
      <c r="J61" s="29" t="s">
        <v>1354</v>
      </c>
    </row>
    <row r="62" spans="1:10" ht="84" x14ac:dyDescent="0.25">
      <c r="A62" s="22" t="s">
        <v>1568</v>
      </c>
      <c r="B62" s="13" t="s">
        <v>750</v>
      </c>
      <c r="C62" s="13">
        <v>2</v>
      </c>
      <c r="D62" s="13" t="s">
        <v>1012</v>
      </c>
      <c r="E62" s="13" t="str">
        <f>RHPS[[#This Row],[Strand]]&amp;"-"&amp;RHPS[[#This Row],[QET]]&amp; "-" &amp;RHPS[[#This Row],[COI]]</f>
        <v>7.3.3-Q-NCOI</v>
      </c>
      <c r="F62" s="16" t="s">
        <v>1713</v>
      </c>
      <c r="G62" s="16" t="s">
        <v>1714</v>
      </c>
      <c r="H62" s="16" t="s">
        <v>1715</v>
      </c>
      <c r="I62" s="16" t="s">
        <v>1716</v>
      </c>
      <c r="J62" s="28" t="s">
        <v>1354</v>
      </c>
    </row>
    <row r="63" spans="1:10" ht="30" x14ac:dyDescent="0.25">
      <c r="A63" s="22" t="s">
        <v>1568</v>
      </c>
      <c r="B63" s="13" t="s">
        <v>750</v>
      </c>
      <c r="C63" s="13">
        <v>2</v>
      </c>
      <c r="D63" s="13" t="s">
        <v>1014</v>
      </c>
      <c r="E63" s="13" t="str">
        <f>RHPS[[#This Row],[Strand]]&amp;"-"&amp;RHPS[[#This Row],[QET]]&amp; "-" &amp;RHPS[[#This Row],[COI]]</f>
        <v>7.3.3-T-NCOI</v>
      </c>
      <c r="F63" s="16" t="s">
        <v>1717</v>
      </c>
      <c r="G63" s="16" t="s">
        <v>1718</v>
      </c>
      <c r="H63" s="16" t="s">
        <v>1719</v>
      </c>
      <c r="I63" s="16" t="s">
        <v>1720</v>
      </c>
      <c r="J63" s="28" t="s">
        <v>1354</v>
      </c>
    </row>
    <row r="64" spans="1:10" ht="84" x14ac:dyDescent="0.25">
      <c r="A64" s="22" t="s">
        <v>1570</v>
      </c>
      <c r="B64" s="13" t="s">
        <v>750</v>
      </c>
      <c r="C64" s="13">
        <v>2</v>
      </c>
      <c r="D64" s="13" t="s">
        <v>1012</v>
      </c>
      <c r="E64" s="13" t="str">
        <f>RHPS[[#This Row],[Strand]]&amp;"-"&amp;RHPS[[#This Row],[QET]]&amp; "-" &amp;RHPS[[#This Row],[COI]]</f>
        <v>7.4.3-Q-NCOI</v>
      </c>
      <c r="F64" s="16" t="s">
        <v>1721</v>
      </c>
      <c r="G64" s="16" t="s">
        <v>1722</v>
      </c>
      <c r="H64" s="16" t="s">
        <v>1723</v>
      </c>
      <c r="I64" s="16" t="s">
        <v>1724</v>
      </c>
      <c r="J64" s="28" t="s">
        <v>1354</v>
      </c>
    </row>
    <row r="65" spans="1:10" ht="30" x14ac:dyDescent="0.25">
      <c r="A65" s="22" t="s">
        <v>1570</v>
      </c>
      <c r="B65" s="13" t="s">
        <v>750</v>
      </c>
      <c r="C65" s="13">
        <v>2</v>
      </c>
      <c r="D65" s="13" t="s">
        <v>1073</v>
      </c>
      <c r="E65" s="13" t="str">
        <f>RHPS[[#This Row],[Strand]]&amp;"-"&amp;RHPS[[#This Row],[QET]]&amp; "-" &amp;RHPS[[#This Row],[COI]]</f>
        <v>7.4.3-E-NCOI</v>
      </c>
      <c r="F65" s="16" t="s">
        <v>1479</v>
      </c>
      <c r="G65" s="16" t="s">
        <v>1480</v>
      </c>
      <c r="H65" s="16" t="s">
        <v>1481</v>
      </c>
      <c r="I65" s="16" t="s">
        <v>1482</v>
      </c>
      <c r="J65" s="28" t="s">
        <v>1354</v>
      </c>
    </row>
    <row r="66" spans="1:10" ht="48" x14ac:dyDescent="0.25">
      <c r="A66" s="22" t="s">
        <v>1572</v>
      </c>
      <c r="B66" s="13" t="s">
        <v>750</v>
      </c>
      <c r="C66" s="13">
        <v>3</v>
      </c>
      <c r="D66" s="13" t="s">
        <v>1012</v>
      </c>
      <c r="E66" s="13" t="str">
        <f>RHPS[[#This Row],[Strand]]&amp;"-"&amp;RHPS[[#This Row],[QET]]&amp; "-" &amp;RHPS[[#This Row],[COI]]</f>
        <v>7.5.3-Q-NCOI</v>
      </c>
      <c r="F66" s="17" t="s">
        <v>1725</v>
      </c>
      <c r="G66" s="17" t="s">
        <v>1726</v>
      </c>
      <c r="H66" s="16" t="s">
        <v>1727</v>
      </c>
      <c r="I66" s="16" t="s">
        <v>1478</v>
      </c>
      <c r="J66" s="28" t="s">
        <v>1354</v>
      </c>
    </row>
    <row r="67" spans="1:10" ht="30" x14ac:dyDescent="0.25">
      <c r="A67" s="22" t="s">
        <v>1572</v>
      </c>
      <c r="B67" s="13" t="s">
        <v>750</v>
      </c>
      <c r="C67" s="13"/>
      <c r="D67" s="13" t="s">
        <v>1073</v>
      </c>
      <c r="E67" s="13" t="str">
        <f>RHPS[[#This Row],[Strand]]&amp;"-"&amp;RHPS[[#This Row],[QET]]&amp; "-" &amp;RHPS[[#This Row],[COI]]</f>
        <v>7.5.3-E-NCOI</v>
      </c>
      <c r="F67" s="16" t="s">
        <v>1479</v>
      </c>
      <c r="G67" s="16" t="s">
        <v>1480</v>
      </c>
      <c r="H67" s="16" t="s">
        <v>1481</v>
      </c>
      <c r="I67" s="16" t="s">
        <v>1482</v>
      </c>
      <c r="J67" s="28" t="s">
        <v>1354</v>
      </c>
    </row>
    <row r="68" spans="1:10" ht="36" x14ac:dyDescent="0.25">
      <c r="A68" s="22" t="s">
        <v>1572</v>
      </c>
      <c r="B68" s="13" t="s">
        <v>750</v>
      </c>
      <c r="C68" s="13"/>
      <c r="D68" s="13" t="s">
        <v>1014</v>
      </c>
      <c r="E68" s="13" t="str">
        <f>RHPS[[#This Row],[Strand]]&amp;"-"&amp;RHPS[[#This Row],[QET]]&amp; "-" &amp;RHPS[[#This Row],[COI]]</f>
        <v>7.5.3-T-NCOI</v>
      </c>
      <c r="F68" s="16" t="s">
        <v>1728</v>
      </c>
      <c r="G68" s="16" t="s">
        <v>1484</v>
      </c>
      <c r="H68" s="16" t="s">
        <v>1485</v>
      </c>
      <c r="I68" s="16" t="s">
        <v>1486</v>
      </c>
      <c r="J68" s="28" t="s">
        <v>1354</v>
      </c>
    </row>
    <row r="69" spans="1:10" ht="60" x14ac:dyDescent="0.25">
      <c r="A69" s="24">
        <v>15</v>
      </c>
      <c r="B69" s="26" t="s">
        <v>750</v>
      </c>
      <c r="C69" s="26">
        <v>3</v>
      </c>
      <c r="D69" s="26" t="s">
        <v>1012</v>
      </c>
      <c r="E69" s="26" t="str">
        <f>RHPS[[#This Row],[Strand]]&amp;"-"&amp;RHPS[[#This Row],[QET]]&amp; "-" &amp;RHPS[[#This Row],[COI]]</f>
        <v>15-Q-NCOI</v>
      </c>
      <c r="F69" s="33" t="s">
        <v>1729</v>
      </c>
      <c r="G69" s="33" t="s">
        <v>1730</v>
      </c>
      <c r="H69" s="33" t="s">
        <v>1731</v>
      </c>
      <c r="I69" s="33" t="s">
        <v>1732</v>
      </c>
      <c r="J69" s="34" t="s">
        <v>1354</v>
      </c>
    </row>
    <row r="70" spans="1:10" ht="60" x14ac:dyDescent="0.25">
      <c r="A70" s="24">
        <v>15</v>
      </c>
      <c r="B70" s="26" t="s">
        <v>750</v>
      </c>
      <c r="C70" s="26"/>
      <c r="D70" s="26" t="s">
        <v>1073</v>
      </c>
      <c r="E70" s="26" t="str">
        <f>RHPS[[#This Row],[Strand]]&amp;"-"&amp;RHPS[[#This Row],[QET]]&amp; "-" &amp;RHPS[[#This Row],[COI]]</f>
        <v>15-E-NCOI</v>
      </c>
      <c r="F70" s="33" t="s">
        <v>1733</v>
      </c>
      <c r="G70" s="33" t="s">
        <v>1734</v>
      </c>
      <c r="H70" s="33" t="s">
        <v>1735</v>
      </c>
      <c r="I70" s="33" t="s">
        <v>1736</v>
      </c>
      <c r="J70" s="34" t="s">
        <v>1354</v>
      </c>
    </row>
    <row r="71" spans="1:10" ht="24" x14ac:dyDescent="0.25">
      <c r="A71" s="24">
        <v>15</v>
      </c>
      <c r="B71" s="26" t="s">
        <v>750</v>
      </c>
      <c r="C71" s="26"/>
      <c r="D71" s="26" t="s">
        <v>1014</v>
      </c>
      <c r="E71" s="26" t="str">
        <f>RHPS[[#This Row],[Strand]]&amp;"-"&amp;RHPS[[#This Row],[QET]]&amp; "-" &amp;RHPS[[#This Row],[COI]]</f>
        <v>15-T-NCOI</v>
      </c>
      <c r="F71" s="33" t="s">
        <v>1496</v>
      </c>
      <c r="G71" s="33" t="s">
        <v>1497</v>
      </c>
      <c r="H71" s="33" t="s">
        <v>1498</v>
      </c>
      <c r="I71" s="33" t="s">
        <v>1499</v>
      </c>
      <c r="J71" s="34" t="s">
        <v>1354</v>
      </c>
    </row>
  </sheetData>
  <sheetProtection algorithmName="SHA-512" hashValue="GPyq8evLhP2eFwALW+1TeBuLFyjjCmAheBflsFd+BKM4H9ADEhwIbodYPoI6xYPWq5x5XDRNkql/H0fkn8AD1A==" saltValue="Wzq37c7UcmzBF1pluqDaJA==" spinCount="100000" sheet="1" objects="1" scenarios="1" selectLockedCells="1" selectUnlockedCells="1"/>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244D9-5575-462A-91AA-138E3EB68DC8}">
  <sheetPr codeName="TBPI_Sheet"/>
  <dimension ref="A1:M40"/>
  <sheetViews>
    <sheetView zoomScale="80" zoomScaleNormal="80" workbookViewId="0">
      <pane ySplit="1" topLeftCell="A2" activePane="bottomLeft" state="frozen"/>
      <selection activeCell="B6" sqref="B6"/>
      <selection pane="bottomLeft" activeCell="B6" sqref="B6"/>
    </sheetView>
  </sheetViews>
  <sheetFormatPr defaultColWidth="8.85546875" defaultRowHeight="15" x14ac:dyDescent="0.25"/>
  <cols>
    <col min="1" max="1" width="11" style="6" customWidth="1"/>
    <col min="2" max="2" width="45.42578125" style="4" customWidth="1"/>
    <col min="3" max="3" width="9.7109375" style="11" customWidth="1"/>
    <col min="4" max="4" width="10.42578125" style="6" customWidth="1"/>
    <col min="5" max="5" width="5.140625" style="6" customWidth="1"/>
    <col min="6" max="6" width="8.85546875" style="6"/>
    <col min="7" max="7" width="12" style="6" customWidth="1"/>
    <col min="8" max="8" width="8.85546875" style="83"/>
    <col min="9" max="9" width="8.85546875" style="6"/>
    <col min="10" max="16384" width="8.85546875" style="4"/>
  </cols>
  <sheetData>
    <row r="1" spans="1:13" s="1" customFormat="1" ht="45" x14ac:dyDescent="0.25">
      <c r="A1" s="20" t="s">
        <v>882</v>
      </c>
      <c r="B1" s="23" t="s">
        <v>883</v>
      </c>
      <c r="C1" s="23" t="s">
        <v>1261</v>
      </c>
      <c r="D1" s="12" t="s">
        <v>884</v>
      </c>
      <c r="E1" s="12" t="s">
        <v>885</v>
      </c>
      <c r="F1" s="12" t="s">
        <v>1269</v>
      </c>
      <c r="G1" s="12" t="s">
        <v>1270</v>
      </c>
      <c r="H1" s="80" t="s">
        <v>887</v>
      </c>
      <c r="I1" s="12" t="s">
        <v>1271</v>
      </c>
      <c r="J1" s="12" t="s">
        <v>82</v>
      </c>
      <c r="K1" s="12" t="s">
        <v>83</v>
      </c>
      <c r="L1" s="12" t="s">
        <v>84</v>
      </c>
      <c r="M1" s="12" t="s">
        <v>85</v>
      </c>
    </row>
    <row r="2" spans="1:13" ht="30" x14ac:dyDescent="0.25">
      <c r="A2" s="22">
        <v>1.1000000000000001</v>
      </c>
      <c r="B2" s="18" t="s">
        <v>1273</v>
      </c>
      <c r="C2" s="13">
        <v>1</v>
      </c>
      <c r="D2" s="320" t="str">
        <f>IFERROR(IF(AND(COUNTIF(TBPS[helper],TBPI[[#This Row],[Strand]]&amp;"-Q-COI")&gt;0,COUNTIF(TBPS[helper],TBPI[[#This Row],[Strand]]&amp;"-Q-NCOI")&gt;0),"COI/NCOI",IF(COUNTIF(TBPS[helper],TBPI[[#This Row],[Strand]]&amp;"-Q-COI")&gt;0,"COI",IF(COUNTIF(TBPS[helper],TBPI[[#This Row],[Strand]]&amp;"-Q-NCOI")&gt;0,"NCOI",""))),"")</f>
        <v>COI</v>
      </c>
      <c r="E2" s="13">
        <v>3</v>
      </c>
      <c r="F2" s="320" t="b">
        <f>VLOOKUP(TBPI[[#This Row],[Strand]],indSelect_TBP,7,FALSE)</f>
        <v>0</v>
      </c>
      <c r="G2" s="320" t="str">
        <f>IF(AND(career_stage="P",teacher_type="TB",TBPI[[#This Row],[CO]]="COI/NCOI",TBPI[[#This Row],[Selected]]),VLOOKUP(TBPI[[#This Row],[Strand]],coi_ncoi_select,COLUMNS(coi_ncoi_select),FALSE),TBPI[[#This Row],[CO]])</f>
        <v>COI</v>
      </c>
      <c r="H2" s="323">
        <f>VLOOKUP(TBPI[[#This Row],[Strand]],indSelect_TBP,6,FALSE)</f>
        <v>0</v>
      </c>
      <c r="I2" s="320" t="str">
        <f>IFERROR(IF(AND(TBPI[[#This Row],[Selected]],TBPI[[#This Row],[CO]]="COI/NCOI"),VLOOKUP(TBPI[[#This Row],[Strand]],indSelect_TBP,9,FALSE),TBPI[[#This Row],[CO]]),TBPI[[#This Row],[CO]])</f>
        <v>COI</v>
      </c>
      <c r="J2" s="321" t="b">
        <f>IF(AND(required_cot&gt;=1,TBPI[[#This Row],[Selected]]),VLOOKUP(TBPI[[#This Row],[Strand]],indSelect_TBP,10,FALSE)=1,FALSE)</f>
        <v>0</v>
      </c>
      <c r="K2" s="321" t="b">
        <f>IF(AND(required_cot&gt;=2,TBPI[[#This Row],[Selected]]),VLOOKUP(TBPI[[#This Row],[Strand]],indSelect_TBP,11,FALSE)=1,FALSE)</f>
        <v>0</v>
      </c>
      <c r="L2" s="321" t="b">
        <f>IF(AND(required_cot&gt;=3,TBPI[[#This Row],[Selected]]),VLOOKUP(TBPI[[#This Row],[Strand]],indSelect_TBP,12,FALSE)=1,FALSE)</f>
        <v>0</v>
      </c>
      <c r="M2" s="321" t="b">
        <f>IF(AND(required_cot&gt;=4,TBPI[[#This Row],[Selected]]),VLOOKUP(TBPI[[#This Row],[Strand]],indSelect_TBP,13,FALSE)=1,FALSE)</f>
        <v>0</v>
      </c>
    </row>
    <row r="3" spans="1:13" ht="45" x14ac:dyDescent="0.25">
      <c r="A3" s="22">
        <v>1.2</v>
      </c>
      <c r="B3" s="18" t="s">
        <v>1275</v>
      </c>
      <c r="C3" s="13">
        <v>1</v>
      </c>
      <c r="D3" s="320" t="str">
        <f>IFERROR(IF(AND(COUNTIF(TBPS[helper],TBPI[[#This Row],[Strand]]&amp;"-Q-COI")&gt;0,COUNTIF(TBPS[helper],TBPI[[#This Row],[Strand]]&amp;"-Q-NCOI")&gt;0),"COI/NCOI",IF(COUNTIF(TBPS[helper],TBPI[[#This Row],[Strand]]&amp;"-Q-COI")&gt;0,"COI",IF(COUNTIF(TBPS[helper],TBPI[[#This Row],[Strand]]&amp;"-Q-NCOI")&gt;0,"NCOI",""))),"")</f>
        <v>NCOI</v>
      </c>
      <c r="E3" s="13">
        <v>3</v>
      </c>
      <c r="F3" s="320" t="b">
        <f>VLOOKUP(TBPI[[#This Row],[Strand]],indSelect_TBP,7,FALSE)</f>
        <v>0</v>
      </c>
      <c r="G3" s="320" t="str">
        <f>IF(AND(career_stage="P",teacher_type="TB",TBPI[[#This Row],[CO]]="COI/NCOI",TBPI[[#This Row],[Selected]]),VLOOKUP(TBPI[[#This Row],[Strand]],coi_ncoi_select,COLUMNS(coi_ncoi_select),FALSE),TBPI[[#This Row],[CO]])</f>
        <v>NCOI</v>
      </c>
      <c r="H3" s="323">
        <f>VLOOKUP(TBPI[[#This Row],[Strand]],indSelect_TBP,6,FALSE)</f>
        <v>0</v>
      </c>
      <c r="I3" s="320" t="str">
        <f>IFERROR(IF(AND(TBPI[[#This Row],[Selected]],TBPI[[#This Row],[CO]]="COI/NCOI"),VLOOKUP(TBPI[[#This Row],[Strand]],indSelect_TBP,9,FALSE),TBPI[[#This Row],[CO]]),TBPI[[#This Row],[CO]])</f>
        <v>NCOI</v>
      </c>
      <c r="J3" s="321" t="b">
        <f>IF(AND(required_cot&gt;=1,TBPI[[#This Row],[Selected]]),VLOOKUP(TBPI[[#This Row],[Strand]],indSelect_TBP,10,FALSE)=1,FALSE)</f>
        <v>0</v>
      </c>
      <c r="K3" s="321" t="b">
        <f>IF(AND(required_cot&gt;=2,TBPI[[#This Row],[Selected]]),VLOOKUP(TBPI[[#This Row],[Strand]],indSelect_TBP,11,FALSE)=1,FALSE)</f>
        <v>0</v>
      </c>
      <c r="L3" s="321" t="b">
        <f>IF(AND(required_cot&gt;=3,TBPI[[#This Row],[Selected]]),VLOOKUP(TBPI[[#This Row],[Strand]],indSelect_TBP,12,FALSE)=1,FALSE)</f>
        <v>0</v>
      </c>
      <c r="M3" s="321" t="b">
        <f>IF(AND(required_cot&gt;=4,TBPI[[#This Row],[Selected]]),VLOOKUP(TBPI[[#This Row],[Strand]],indSelect_TBP,13,FALSE)=1,FALSE)</f>
        <v>0</v>
      </c>
    </row>
    <row r="4" spans="1:13" ht="30" x14ac:dyDescent="0.25">
      <c r="A4" s="22">
        <v>1.3</v>
      </c>
      <c r="B4" s="18" t="s">
        <v>1277</v>
      </c>
      <c r="C4" s="13">
        <v>1</v>
      </c>
      <c r="D4" s="320" t="str">
        <f>IFERROR(IF(AND(COUNTIF(TBPS[helper],TBPI[[#This Row],[Strand]]&amp;"-Q-COI")&gt;0,COUNTIF(TBPS[helper],TBPI[[#This Row],[Strand]]&amp;"-Q-NCOI")&gt;0),"COI/NCOI",IF(COUNTIF(TBPS[helper],TBPI[[#This Row],[Strand]]&amp;"-Q-COI")&gt;0,"COI",IF(COUNTIF(TBPS[helper],TBPI[[#This Row],[Strand]]&amp;"-Q-NCOI")&gt;0,"NCOI",""))),"")</f>
        <v>NCOI</v>
      </c>
      <c r="E4" s="13">
        <v>2</v>
      </c>
      <c r="F4" s="320" t="b">
        <f>VLOOKUP(TBPI[[#This Row],[Strand]],indSelect_TBP,7,FALSE)</f>
        <v>0</v>
      </c>
      <c r="G4" s="320" t="str">
        <f>IF(AND(career_stage="P",teacher_type="TB",TBPI[[#This Row],[CO]]="COI/NCOI",TBPI[[#This Row],[Selected]]),VLOOKUP(TBPI[[#This Row],[Strand]],coi_ncoi_select,COLUMNS(coi_ncoi_select),FALSE),TBPI[[#This Row],[CO]])</f>
        <v>NCOI</v>
      </c>
      <c r="H4" s="323">
        <f>VLOOKUP(TBPI[[#This Row],[Strand]],indSelect_TBP,6,FALSE)</f>
        <v>0</v>
      </c>
      <c r="I4" s="320" t="str">
        <f>IFERROR(IF(AND(TBPI[[#This Row],[Selected]],TBPI[[#This Row],[CO]]="COI/NCOI"),VLOOKUP(TBPI[[#This Row],[Strand]],indSelect_TBP,9,FALSE),TBPI[[#This Row],[CO]]),TBPI[[#This Row],[CO]])</f>
        <v>NCOI</v>
      </c>
      <c r="J4" s="321" t="b">
        <f>IF(AND(required_cot&gt;=1,TBPI[[#This Row],[Selected]]),VLOOKUP(TBPI[[#This Row],[Strand]],indSelect_TBP,10,FALSE)=1,FALSE)</f>
        <v>0</v>
      </c>
      <c r="K4" s="321" t="b">
        <f>IF(AND(required_cot&gt;=2,TBPI[[#This Row],[Selected]]),VLOOKUP(TBPI[[#This Row],[Strand]],indSelect_TBP,11,FALSE)=1,FALSE)</f>
        <v>0</v>
      </c>
      <c r="L4" s="321" t="b">
        <f>IF(AND(required_cot&gt;=3,TBPI[[#This Row],[Selected]]),VLOOKUP(TBPI[[#This Row],[Strand]],indSelect_TBP,12,FALSE)=1,FALSE)</f>
        <v>0</v>
      </c>
      <c r="M4" s="321" t="b">
        <f>IF(AND(required_cot&gt;=4,TBPI[[#This Row],[Selected]]),VLOOKUP(TBPI[[#This Row],[Strand]],indSelect_TBP,13,FALSE)=1,FALSE)</f>
        <v>0</v>
      </c>
    </row>
    <row r="5" spans="1:13" ht="45" x14ac:dyDescent="0.25">
      <c r="A5" s="22">
        <v>1.4</v>
      </c>
      <c r="B5" s="18" t="s">
        <v>1279</v>
      </c>
      <c r="C5" s="13">
        <v>1</v>
      </c>
      <c r="D5" s="331" t="str">
        <f>IFERROR(IF(AND(COUNTIF(TBPS[helper],TBPI[[#This Row],[Strand]]&amp;"-Q-COI")&gt;0,COUNTIF(TBPS[helper],TBPI[[#This Row],[Strand]]&amp;"-Q-NCOI")&gt;0),"COI/NCOI",IF(COUNTIF(TBPS[helper],TBPI[[#This Row],[Strand]]&amp;"-Q-COI")&gt;0,"COI",IF(COUNTIF(TBPS[helper],TBPI[[#This Row],[Strand]]&amp;"-Q-NCOI")&gt;0,"NCOI",""))),"")</f>
        <v>COI</v>
      </c>
      <c r="E5" s="36">
        <v>1</v>
      </c>
      <c r="F5" s="320" t="b">
        <f>VLOOKUP(TBPI[[#This Row],[Strand]],indSelect_TBP,7,FALSE)</f>
        <v>0</v>
      </c>
      <c r="G5" s="320" t="str">
        <f>IF(AND(career_stage="P",teacher_type="TB",TBPI[[#This Row],[CO]]="COI/NCOI",TBPI[[#This Row],[Selected]]),VLOOKUP(TBPI[[#This Row],[Strand]],coi_ncoi_select,COLUMNS(coi_ncoi_select),FALSE),TBPI[[#This Row],[CO]])</f>
        <v>COI</v>
      </c>
      <c r="H5" s="323">
        <f>VLOOKUP(TBPI[[#This Row],[Strand]],indSelect_TBP,6,FALSE)</f>
        <v>0</v>
      </c>
      <c r="I5" s="320" t="str">
        <f>IFERROR(IF(AND(TBPI[[#This Row],[Selected]],TBPI[[#This Row],[CO]]="COI/NCOI"),VLOOKUP(TBPI[[#This Row],[Strand]],indSelect_TBP,9,FALSE),TBPI[[#This Row],[CO]]),TBPI[[#This Row],[CO]])</f>
        <v>COI</v>
      </c>
      <c r="J5" s="321" t="b">
        <f>IF(AND(required_cot&gt;=1,TBPI[[#This Row],[Selected]]),VLOOKUP(TBPI[[#This Row],[Strand]],indSelect_TBP,10,FALSE)=1,FALSE)</f>
        <v>0</v>
      </c>
      <c r="K5" s="321" t="b">
        <f>IF(AND(required_cot&gt;=2,TBPI[[#This Row],[Selected]]),VLOOKUP(TBPI[[#This Row],[Strand]],indSelect_TBP,11,FALSE)=1,FALSE)</f>
        <v>0</v>
      </c>
      <c r="L5" s="321" t="b">
        <f>IF(AND(required_cot&gt;=3,TBPI[[#This Row],[Selected]]),VLOOKUP(TBPI[[#This Row],[Strand]],indSelect_TBP,12,FALSE)=1,FALSE)</f>
        <v>0</v>
      </c>
      <c r="M5" s="321" t="b">
        <f>IF(AND(required_cot&gt;=4,TBPI[[#This Row],[Selected]]),VLOOKUP(TBPI[[#This Row],[Strand]],indSelect_TBP,13,FALSE)=1,FALSE)</f>
        <v>0</v>
      </c>
    </row>
    <row r="6" spans="1:13" ht="45" x14ac:dyDescent="0.25">
      <c r="A6" s="22">
        <v>1.5</v>
      </c>
      <c r="B6" s="18" t="s">
        <v>1281</v>
      </c>
      <c r="C6" s="13">
        <v>1</v>
      </c>
      <c r="D6" s="320" t="str">
        <f>IFERROR(IF(AND(COUNTIF(TBPS[helper],TBPI[[#This Row],[Strand]]&amp;"-Q-COI")&gt;0,COUNTIF(TBPS[helper],TBPI[[#This Row],[Strand]]&amp;"-Q-NCOI")&gt;0),"COI/NCOI",IF(COUNTIF(TBPS[helper],TBPI[[#This Row],[Strand]]&amp;"-Q-COI")&gt;0,"COI",IF(COUNTIF(TBPS[helper],TBPI[[#This Row],[Strand]]&amp;"-Q-NCOI")&gt;0,"NCOI",""))),"")</f>
        <v>COI</v>
      </c>
      <c r="E6" s="13">
        <v>3</v>
      </c>
      <c r="F6" s="320" t="b">
        <f>VLOOKUP(TBPI[[#This Row],[Strand]],indSelect_TBP,7,FALSE)</f>
        <v>0</v>
      </c>
      <c r="G6" s="320" t="str">
        <f>IF(AND(career_stage="P",teacher_type="TB",TBPI[[#This Row],[CO]]="COI/NCOI",TBPI[[#This Row],[Selected]]),VLOOKUP(TBPI[[#This Row],[Strand]],coi_ncoi_select,COLUMNS(coi_ncoi_select),FALSE),TBPI[[#This Row],[CO]])</f>
        <v>COI</v>
      </c>
      <c r="H6" s="323">
        <f>VLOOKUP(TBPI[[#This Row],[Strand]],indSelect_TBP,6,FALSE)</f>
        <v>0</v>
      </c>
      <c r="I6" s="320" t="str">
        <f>IFERROR(IF(AND(TBPI[[#This Row],[Selected]],TBPI[[#This Row],[CO]]="COI/NCOI"),VLOOKUP(TBPI[[#This Row],[Strand]],indSelect_TBP,9,FALSE),TBPI[[#This Row],[CO]]),TBPI[[#This Row],[CO]])</f>
        <v>COI</v>
      </c>
      <c r="J6" s="321" t="b">
        <f>IF(AND(required_cot&gt;=1,TBPI[[#This Row],[Selected]]),VLOOKUP(TBPI[[#This Row],[Strand]],indSelect_TBP,10,FALSE)=1,FALSE)</f>
        <v>0</v>
      </c>
      <c r="K6" s="321" t="b">
        <f>IF(AND(required_cot&gt;=2,TBPI[[#This Row],[Selected]]),VLOOKUP(TBPI[[#This Row],[Strand]],indSelect_TBP,11,FALSE)=1,FALSE)</f>
        <v>0</v>
      </c>
      <c r="L6" s="321" t="b">
        <f>IF(AND(required_cot&gt;=3,TBPI[[#This Row],[Selected]]),VLOOKUP(TBPI[[#This Row],[Strand]],indSelect_TBP,12,FALSE)=1,FALSE)</f>
        <v>0</v>
      </c>
      <c r="M6" s="321" t="b">
        <f>IF(AND(required_cot&gt;=4,TBPI[[#This Row],[Selected]]),VLOOKUP(TBPI[[#This Row],[Strand]],indSelect_TBP,13,FALSE)=1,FALSE)</f>
        <v>0</v>
      </c>
    </row>
    <row r="7" spans="1:13" ht="45" x14ac:dyDescent="0.25">
      <c r="A7" s="22">
        <v>1.6</v>
      </c>
      <c r="B7" s="18" t="s">
        <v>1283</v>
      </c>
      <c r="C7" s="13">
        <v>1</v>
      </c>
      <c r="D7" s="320" t="str">
        <f>IFERROR(IF(AND(COUNTIF(TBPS[helper],TBPI[[#This Row],[Strand]]&amp;"-Q-COI")&gt;0,COUNTIF(TBPS[helper],TBPI[[#This Row],[Strand]]&amp;"-Q-NCOI")&gt;0),"COI/NCOI",IF(COUNTIF(TBPS[helper],TBPI[[#This Row],[Strand]]&amp;"-Q-COI")&gt;0,"COI",IF(COUNTIF(TBPS[helper],TBPI[[#This Row],[Strand]]&amp;"-Q-NCOI")&gt;0,"NCOI",""))),"")</f>
        <v>COI</v>
      </c>
      <c r="E7" s="13">
        <v>3</v>
      </c>
      <c r="F7" s="320" t="b">
        <f>VLOOKUP(TBPI[[#This Row],[Strand]],indSelect_TBP,7,FALSE)</f>
        <v>0</v>
      </c>
      <c r="G7" s="320" t="str">
        <f>IF(AND(career_stage="P",teacher_type="TB",TBPI[[#This Row],[CO]]="COI/NCOI",TBPI[[#This Row],[Selected]]),VLOOKUP(TBPI[[#This Row],[Strand]],coi_ncoi_select,COLUMNS(coi_ncoi_select),FALSE),TBPI[[#This Row],[CO]])</f>
        <v>COI</v>
      </c>
      <c r="H7" s="323">
        <f>VLOOKUP(TBPI[[#This Row],[Strand]],indSelect_TBP,6,FALSE)</f>
        <v>0</v>
      </c>
      <c r="I7" s="320" t="str">
        <f>IFERROR(IF(AND(TBPI[[#This Row],[Selected]],TBPI[[#This Row],[CO]]="COI/NCOI"),VLOOKUP(TBPI[[#This Row],[Strand]],indSelect_TBP,9,FALSE),TBPI[[#This Row],[CO]]),TBPI[[#This Row],[CO]])</f>
        <v>COI</v>
      </c>
      <c r="J7" s="321" t="b">
        <f>IF(AND(required_cot&gt;=1,TBPI[[#This Row],[Selected]]),VLOOKUP(TBPI[[#This Row],[Strand]],indSelect_TBP,10,FALSE)=1,FALSE)</f>
        <v>0</v>
      </c>
      <c r="K7" s="321" t="b">
        <f>IF(AND(required_cot&gt;=2,TBPI[[#This Row],[Selected]]),VLOOKUP(TBPI[[#This Row],[Strand]],indSelect_TBP,11,FALSE)=1,FALSE)</f>
        <v>0</v>
      </c>
      <c r="L7" s="321" t="b">
        <f>IF(AND(required_cot&gt;=3,TBPI[[#This Row],[Selected]]),VLOOKUP(TBPI[[#This Row],[Strand]],indSelect_TBP,12,FALSE)=1,FALSE)</f>
        <v>0</v>
      </c>
      <c r="M7" s="321" t="b">
        <f>IF(AND(required_cot&gt;=4,TBPI[[#This Row],[Selected]]),VLOOKUP(TBPI[[#This Row],[Strand]],indSelect_TBP,13,FALSE)=1,FALSE)</f>
        <v>0</v>
      </c>
    </row>
    <row r="8" spans="1:13" ht="60" x14ac:dyDescent="0.25">
      <c r="A8" s="22">
        <v>1.7</v>
      </c>
      <c r="B8" s="18" t="s">
        <v>1285</v>
      </c>
      <c r="C8" s="13">
        <v>1</v>
      </c>
      <c r="D8" s="320" t="str">
        <f>IFERROR(IF(AND(COUNTIF(TBPS[helper],TBPI[[#This Row],[Strand]]&amp;"-Q-COI")&gt;0,COUNTIF(TBPS[helper],TBPI[[#This Row],[Strand]]&amp;"-Q-NCOI")&gt;0),"COI/NCOI",IF(COUNTIF(TBPS[helper],TBPI[[#This Row],[Strand]]&amp;"-Q-COI")&gt;0,"COI",IF(COUNTIF(TBPS[helper],TBPI[[#This Row],[Strand]]&amp;"-Q-NCOI")&gt;0,"NCOI",""))),"")</f>
        <v>COI</v>
      </c>
      <c r="E8" s="13">
        <v>3</v>
      </c>
      <c r="F8" s="320" t="b">
        <f>VLOOKUP(TBPI[[#This Row],[Strand]],indSelect_TBP,7,FALSE)</f>
        <v>0</v>
      </c>
      <c r="G8" s="320" t="str">
        <f>IF(AND(career_stage="P",teacher_type="TB",TBPI[[#This Row],[CO]]="COI/NCOI",TBPI[[#This Row],[Selected]]),VLOOKUP(TBPI[[#This Row],[Strand]],coi_ncoi_select,COLUMNS(coi_ncoi_select),FALSE),TBPI[[#This Row],[CO]])</f>
        <v>COI</v>
      </c>
      <c r="H8" s="323">
        <f>VLOOKUP(TBPI[[#This Row],[Strand]],indSelect_TBP,6,FALSE)</f>
        <v>0</v>
      </c>
      <c r="I8" s="320" t="str">
        <f>IFERROR(IF(AND(TBPI[[#This Row],[Selected]],TBPI[[#This Row],[CO]]="COI/NCOI"),VLOOKUP(TBPI[[#This Row],[Strand]],indSelect_TBP,9,FALSE),TBPI[[#This Row],[CO]]),TBPI[[#This Row],[CO]])</f>
        <v>COI</v>
      </c>
      <c r="J8" s="321" t="b">
        <f>IF(AND(required_cot&gt;=1,TBPI[[#This Row],[Selected]]),VLOOKUP(TBPI[[#This Row],[Strand]],indSelect_TBP,10,FALSE)=1,FALSE)</f>
        <v>0</v>
      </c>
      <c r="K8" s="321" t="b">
        <f>IF(AND(required_cot&gt;=2,TBPI[[#This Row],[Selected]]),VLOOKUP(TBPI[[#This Row],[Strand]],indSelect_TBP,11,FALSE)=1,FALSE)</f>
        <v>0</v>
      </c>
      <c r="L8" s="321" t="b">
        <f>IF(AND(required_cot&gt;=3,TBPI[[#This Row],[Selected]]),VLOOKUP(TBPI[[#This Row],[Strand]],indSelect_TBP,12,FALSE)=1,FALSE)</f>
        <v>0</v>
      </c>
      <c r="M8" s="321" t="b">
        <f>IF(AND(required_cot&gt;=4,TBPI[[#This Row],[Selected]]),VLOOKUP(TBPI[[#This Row],[Strand]],indSelect_TBP,13,FALSE)=1,FALSE)</f>
        <v>0</v>
      </c>
    </row>
    <row r="9" spans="1:13" ht="62.45" customHeight="1" x14ac:dyDescent="0.25">
      <c r="A9" s="22">
        <v>2.1</v>
      </c>
      <c r="B9" s="18" t="s">
        <v>1287</v>
      </c>
      <c r="C9" s="13">
        <v>2</v>
      </c>
      <c r="D9" s="320" t="str">
        <f>IFERROR(IF(AND(COUNTIF(TBPS[helper],TBPI[[#This Row],[Strand]]&amp;"-Q-COI")&gt;0,COUNTIF(TBPS[helper],TBPI[[#This Row],[Strand]]&amp;"-Q-NCOI")&gt;0),"COI/NCOI",IF(COUNTIF(TBPS[helper],TBPI[[#This Row],[Strand]]&amp;"-Q-COI")&gt;0,"COI",IF(COUNTIF(TBPS[helper],TBPI[[#This Row],[Strand]]&amp;"-Q-NCOI")&gt;0,"NCOI",""))),"")</f>
        <v>COI</v>
      </c>
      <c r="E9" s="13">
        <v>3</v>
      </c>
      <c r="F9" s="320" t="b">
        <f>VLOOKUP(TBPI[[#This Row],[Strand]],indSelect_TBP,7,FALSE)</f>
        <v>0</v>
      </c>
      <c r="G9" s="320" t="str">
        <f>IF(AND(career_stage="P",teacher_type="TB",TBPI[[#This Row],[CO]]="COI/NCOI",TBPI[[#This Row],[Selected]]),VLOOKUP(TBPI[[#This Row],[Strand]],coi_ncoi_select,COLUMNS(coi_ncoi_select),FALSE),TBPI[[#This Row],[CO]])</f>
        <v>COI</v>
      </c>
      <c r="H9" s="323">
        <f>VLOOKUP(TBPI[[#This Row],[Strand]],indSelect_TBP,6,FALSE)</f>
        <v>0</v>
      </c>
      <c r="I9" s="320" t="str">
        <f>IFERROR(IF(AND(TBPI[[#This Row],[Selected]],TBPI[[#This Row],[CO]]="COI/NCOI"),VLOOKUP(TBPI[[#This Row],[Strand]],indSelect_TBP,9,FALSE),TBPI[[#This Row],[CO]]),TBPI[[#This Row],[CO]])</f>
        <v>COI</v>
      </c>
      <c r="J9" s="321" t="b">
        <f>IF(AND(required_cot&gt;=1,TBPI[[#This Row],[Selected]]),VLOOKUP(TBPI[[#This Row],[Strand]],indSelect_TBP,10,FALSE)=1,FALSE)</f>
        <v>0</v>
      </c>
      <c r="K9" s="321" t="b">
        <f>IF(AND(required_cot&gt;=2,TBPI[[#This Row],[Selected]]),VLOOKUP(TBPI[[#This Row],[Strand]],indSelect_TBP,11,FALSE)=1,FALSE)</f>
        <v>0</v>
      </c>
      <c r="L9" s="321" t="b">
        <f>IF(AND(required_cot&gt;=3,TBPI[[#This Row],[Selected]]),VLOOKUP(TBPI[[#This Row],[Strand]],indSelect_TBP,12,FALSE)=1,FALSE)</f>
        <v>0</v>
      </c>
      <c r="M9" s="321" t="b">
        <f>IF(AND(required_cot&gt;=4,TBPI[[#This Row],[Selected]]),VLOOKUP(TBPI[[#This Row],[Strand]],indSelect_TBP,13,FALSE)=1,FALSE)</f>
        <v>0</v>
      </c>
    </row>
    <row r="10" spans="1:13" ht="30" x14ac:dyDescent="0.25">
      <c r="A10" s="22">
        <v>2.2000000000000002</v>
      </c>
      <c r="B10" s="18" t="s">
        <v>1289</v>
      </c>
      <c r="C10" s="13">
        <v>2</v>
      </c>
      <c r="D10" s="320" t="str">
        <f>IFERROR(IF(AND(COUNTIF(TBPS[helper],TBPI[[#This Row],[Strand]]&amp;"-Q-COI")&gt;0,COUNTIF(TBPS[helper],TBPI[[#This Row],[Strand]]&amp;"-Q-NCOI")&gt;0),"COI/NCOI",IF(COUNTIF(TBPS[helper],TBPI[[#This Row],[Strand]]&amp;"-Q-COI")&gt;0,"COI",IF(COUNTIF(TBPS[helper],TBPI[[#This Row],[Strand]]&amp;"-Q-NCOI")&gt;0,"NCOI",""))),"")</f>
        <v>COI</v>
      </c>
      <c r="E10" s="13">
        <v>3</v>
      </c>
      <c r="F10" s="320" t="b">
        <f>VLOOKUP(TBPI[[#This Row],[Strand]],indSelect_TBP,7,FALSE)</f>
        <v>0</v>
      </c>
      <c r="G10" s="320" t="str">
        <f>IF(AND(career_stage="P",teacher_type="TB",TBPI[[#This Row],[CO]]="COI/NCOI",TBPI[[#This Row],[Selected]]),VLOOKUP(TBPI[[#This Row],[Strand]],coi_ncoi_select,COLUMNS(coi_ncoi_select),FALSE),TBPI[[#This Row],[CO]])</f>
        <v>COI</v>
      </c>
      <c r="H10" s="323">
        <f>VLOOKUP(TBPI[[#This Row],[Strand]],indSelect_TBP,6,FALSE)</f>
        <v>0</v>
      </c>
      <c r="I10" s="320" t="str">
        <f>IFERROR(IF(AND(TBPI[[#This Row],[Selected]],TBPI[[#This Row],[CO]]="COI/NCOI"),VLOOKUP(TBPI[[#This Row],[Strand]],indSelect_TBP,9,FALSE),TBPI[[#This Row],[CO]]),TBPI[[#This Row],[CO]])</f>
        <v>COI</v>
      </c>
      <c r="J10" s="321" t="b">
        <f>IF(AND(required_cot&gt;=1,TBPI[[#This Row],[Selected]]),VLOOKUP(TBPI[[#This Row],[Strand]],indSelect_TBP,10,FALSE)=1,FALSE)</f>
        <v>0</v>
      </c>
      <c r="K10" s="321" t="b">
        <f>IF(AND(required_cot&gt;=2,TBPI[[#This Row],[Selected]]),VLOOKUP(TBPI[[#This Row],[Strand]],indSelect_TBP,11,FALSE)=1,FALSE)</f>
        <v>0</v>
      </c>
      <c r="L10" s="321" t="b">
        <f>IF(AND(required_cot&gt;=3,TBPI[[#This Row],[Selected]]),VLOOKUP(TBPI[[#This Row],[Strand]],indSelect_TBP,12,FALSE)=1,FALSE)</f>
        <v>0</v>
      </c>
      <c r="M10" s="321" t="b">
        <f>IF(AND(required_cot&gt;=4,TBPI[[#This Row],[Selected]]),VLOOKUP(TBPI[[#This Row],[Strand]],indSelect_TBP,13,FALSE)=1,FALSE)</f>
        <v>0</v>
      </c>
    </row>
    <row r="11" spans="1:13" ht="60" x14ac:dyDescent="0.25">
      <c r="A11" s="22">
        <v>2.2999999999999998</v>
      </c>
      <c r="B11" s="18" t="s">
        <v>1291</v>
      </c>
      <c r="C11" s="13">
        <v>2</v>
      </c>
      <c r="D11" s="331" t="str">
        <f>IFERROR(IF(AND(COUNTIF(TBPS[helper],TBPI[[#This Row],[Strand]]&amp;"-Q-COI")&gt;0,COUNTIF(TBPS[helper],TBPI[[#This Row],[Strand]]&amp;"-Q-NCOI")&gt;0),"COI/NCOI",IF(COUNTIF(TBPS[helper],TBPI[[#This Row],[Strand]]&amp;"-Q-COI")&gt;0,"COI",IF(COUNTIF(TBPS[helper],TBPI[[#This Row],[Strand]]&amp;"-Q-NCOI")&gt;0,"NCOI",""))),"")</f>
        <v>COI</v>
      </c>
      <c r="E11" s="36">
        <v>1</v>
      </c>
      <c r="F11" s="320" t="b">
        <f>VLOOKUP(TBPI[[#This Row],[Strand]],indSelect_TBP,7,FALSE)</f>
        <v>0</v>
      </c>
      <c r="G11" s="320" t="str">
        <f>IF(AND(career_stage="P",teacher_type="TB",TBPI[[#This Row],[CO]]="COI/NCOI",TBPI[[#This Row],[Selected]]),VLOOKUP(TBPI[[#This Row],[Strand]],coi_ncoi_select,COLUMNS(coi_ncoi_select),FALSE),TBPI[[#This Row],[CO]])</f>
        <v>COI</v>
      </c>
      <c r="H11" s="323">
        <f>VLOOKUP(TBPI[[#This Row],[Strand]],indSelect_TBP,6,FALSE)</f>
        <v>0</v>
      </c>
      <c r="I11" s="320" t="str">
        <f>IFERROR(IF(AND(TBPI[[#This Row],[Selected]],TBPI[[#This Row],[CO]]="COI/NCOI"),VLOOKUP(TBPI[[#This Row],[Strand]],indSelect_TBP,9,FALSE),TBPI[[#This Row],[CO]]),TBPI[[#This Row],[CO]])</f>
        <v>COI</v>
      </c>
      <c r="J11" s="321" t="b">
        <f>IF(AND(required_cot&gt;=1,TBPI[[#This Row],[Selected]]),VLOOKUP(TBPI[[#This Row],[Strand]],indSelect_TBP,10,FALSE)=1,FALSE)</f>
        <v>0</v>
      </c>
      <c r="K11" s="321" t="b">
        <f>IF(AND(required_cot&gt;=2,TBPI[[#This Row],[Selected]]),VLOOKUP(TBPI[[#This Row],[Strand]],indSelect_TBP,11,FALSE)=1,FALSE)</f>
        <v>0</v>
      </c>
      <c r="L11" s="321" t="b">
        <f>IF(AND(required_cot&gt;=3,TBPI[[#This Row],[Selected]]),VLOOKUP(TBPI[[#This Row],[Strand]],indSelect_TBP,12,FALSE)=1,FALSE)</f>
        <v>0</v>
      </c>
      <c r="M11" s="321" t="b">
        <f>IF(AND(required_cot&gt;=4,TBPI[[#This Row],[Selected]]),VLOOKUP(TBPI[[#This Row],[Strand]],indSelect_TBP,13,FALSE)=1,FALSE)</f>
        <v>0</v>
      </c>
    </row>
    <row r="12" spans="1:13" ht="45" x14ac:dyDescent="0.25">
      <c r="A12" s="22">
        <v>2.4</v>
      </c>
      <c r="B12" s="18" t="s">
        <v>1293</v>
      </c>
      <c r="C12" s="13">
        <v>2</v>
      </c>
      <c r="D12" s="320" t="str">
        <f>IFERROR(IF(AND(COUNTIF(TBPS[helper],TBPI[[#This Row],[Strand]]&amp;"-Q-COI")&gt;0,COUNTIF(TBPS[helper],TBPI[[#This Row],[Strand]]&amp;"-Q-NCOI")&gt;0),"COI/NCOI",IF(COUNTIF(TBPS[helper],TBPI[[#This Row],[Strand]]&amp;"-Q-COI")&gt;0,"COI",IF(COUNTIF(TBPS[helper],TBPI[[#This Row],[Strand]]&amp;"-Q-NCOI")&gt;0,"NCOI",""))),"")</f>
        <v>COI/NCOI</v>
      </c>
      <c r="E12" s="13">
        <v>3</v>
      </c>
      <c r="F12" s="320" t="b">
        <f>VLOOKUP(TBPI[[#This Row],[Strand]],indSelect_TBP,7,FALSE)</f>
        <v>0</v>
      </c>
      <c r="G12" s="320" t="str">
        <f>IF(AND(career_stage="P",teacher_type="TB",TBPI[[#This Row],[CO]]="COI/NCOI",TBPI[[#This Row],[Selected]]),VLOOKUP(TBPI[[#This Row],[Strand]],coi_ncoi_select,COLUMNS(coi_ncoi_select),FALSE),TBPI[[#This Row],[CO]])</f>
        <v>COI/NCOI</v>
      </c>
      <c r="H12" s="323">
        <f>VLOOKUP(TBPI[[#This Row],[Strand]],indSelect_TBP,6,FALSE)</f>
        <v>0</v>
      </c>
      <c r="I12" s="320" t="str">
        <f>IFERROR(IF(AND(TBPI[[#This Row],[Selected]],TBPI[[#This Row],[CO]]="COI/NCOI"),VLOOKUP(TBPI[[#This Row],[Strand]],indSelect_TBP,9,FALSE),TBPI[[#This Row],[CO]]),TBPI[[#This Row],[CO]])</f>
        <v>COI/NCOI</v>
      </c>
      <c r="J12" s="321" t="b">
        <f>IF(AND(required_cot&gt;=1,TBPI[[#This Row],[Selected]]),VLOOKUP(TBPI[[#This Row],[Strand]],indSelect_TBP,10,FALSE)=1,FALSE)</f>
        <v>0</v>
      </c>
      <c r="K12" s="321" t="b">
        <f>IF(AND(required_cot&gt;=2,TBPI[[#This Row],[Selected]]),VLOOKUP(TBPI[[#This Row],[Strand]],indSelect_TBP,11,FALSE)=1,FALSE)</f>
        <v>0</v>
      </c>
      <c r="L12" s="321" t="b">
        <f>IF(AND(required_cot&gt;=3,TBPI[[#This Row],[Selected]]),VLOOKUP(TBPI[[#This Row],[Strand]],indSelect_TBP,12,FALSE)=1,FALSE)</f>
        <v>0</v>
      </c>
      <c r="M12" s="321" t="b">
        <f>IF(AND(required_cot&gt;=4,TBPI[[#This Row],[Selected]]),VLOOKUP(TBPI[[#This Row],[Strand]],indSelect_TBP,13,FALSE)=1,FALSE)</f>
        <v>0</v>
      </c>
    </row>
    <row r="13" spans="1:13" ht="60" x14ac:dyDescent="0.25">
      <c r="A13" s="22">
        <v>2.5</v>
      </c>
      <c r="B13" s="18" t="s">
        <v>1295</v>
      </c>
      <c r="C13" s="13">
        <v>2</v>
      </c>
      <c r="D13" s="320" t="str">
        <f>IFERROR(IF(AND(COUNTIF(TBPS[helper],TBPI[[#This Row],[Strand]]&amp;"-Q-COI")&gt;0,COUNTIF(TBPS[helper],TBPI[[#This Row],[Strand]]&amp;"-Q-NCOI")&gt;0),"COI/NCOI",IF(COUNTIF(TBPS[helper],TBPI[[#This Row],[Strand]]&amp;"-Q-COI")&gt;0,"COI",IF(COUNTIF(TBPS[helper],TBPI[[#This Row],[Strand]]&amp;"-Q-NCOI")&gt;0,"NCOI",""))),"")</f>
        <v>COI/NCOI</v>
      </c>
      <c r="E13" s="13">
        <v>3</v>
      </c>
      <c r="F13" s="320" t="b">
        <f>VLOOKUP(TBPI[[#This Row],[Strand]],indSelect_TBP,7,FALSE)</f>
        <v>0</v>
      </c>
      <c r="G13" s="320" t="str">
        <f>IF(AND(career_stage="P",teacher_type="TB",TBPI[[#This Row],[CO]]="COI/NCOI",TBPI[[#This Row],[Selected]]),VLOOKUP(TBPI[[#This Row],[Strand]],coi_ncoi_select,COLUMNS(coi_ncoi_select),FALSE),TBPI[[#This Row],[CO]])</f>
        <v>COI/NCOI</v>
      </c>
      <c r="H13" s="323">
        <f>VLOOKUP(TBPI[[#This Row],[Strand]],indSelect_TBP,6,FALSE)</f>
        <v>0</v>
      </c>
      <c r="I13" s="320" t="str">
        <f>IFERROR(IF(AND(TBPI[[#This Row],[Selected]],TBPI[[#This Row],[CO]]="COI/NCOI"),VLOOKUP(TBPI[[#This Row],[Strand]],indSelect_TBP,9,FALSE),TBPI[[#This Row],[CO]]),TBPI[[#This Row],[CO]])</f>
        <v>COI/NCOI</v>
      </c>
      <c r="J13" s="321" t="b">
        <f>IF(AND(required_cot&gt;=1,TBPI[[#This Row],[Selected]]),VLOOKUP(TBPI[[#This Row],[Strand]],indSelect_TBP,10,FALSE)=1,FALSE)</f>
        <v>0</v>
      </c>
      <c r="K13" s="321" t="b">
        <f>IF(AND(required_cot&gt;=2,TBPI[[#This Row],[Selected]]),VLOOKUP(TBPI[[#This Row],[Strand]],indSelect_TBP,11,FALSE)=1,FALSE)</f>
        <v>0</v>
      </c>
      <c r="L13" s="321" t="b">
        <f>IF(AND(required_cot&gt;=3,TBPI[[#This Row],[Selected]]),VLOOKUP(TBPI[[#This Row],[Strand]],indSelect_TBP,12,FALSE)=1,FALSE)</f>
        <v>0</v>
      </c>
      <c r="M13" s="321" t="b">
        <f>IF(AND(required_cot&gt;=4,TBPI[[#This Row],[Selected]]),VLOOKUP(TBPI[[#This Row],[Strand]],indSelect_TBP,13,FALSE)=1,FALSE)</f>
        <v>0</v>
      </c>
    </row>
    <row r="14" spans="1:13" ht="45" x14ac:dyDescent="0.25">
      <c r="A14" s="22">
        <v>2.6</v>
      </c>
      <c r="B14" s="18" t="s">
        <v>1297</v>
      </c>
      <c r="C14" s="13">
        <v>2</v>
      </c>
      <c r="D14" s="331" t="str">
        <f>IFERROR(IF(AND(COUNTIF(TBPS[helper],TBPI[[#This Row],[Strand]]&amp;"-Q-COI")&gt;0,COUNTIF(TBPS[helper],TBPI[[#This Row],[Strand]]&amp;"-Q-NCOI")&gt;0),"COI/NCOI",IF(COUNTIF(TBPS[helper],TBPI[[#This Row],[Strand]]&amp;"-Q-COI")&gt;0,"COI",IF(COUNTIF(TBPS[helper],TBPI[[#This Row],[Strand]]&amp;"-Q-NCOI")&gt;0,"NCOI",""))),"")</f>
        <v>COI</v>
      </c>
      <c r="E14" s="36">
        <v>1</v>
      </c>
      <c r="F14" s="320" t="b">
        <f>VLOOKUP(TBPI[[#This Row],[Strand]],indSelect_TBP,7,FALSE)</f>
        <v>0</v>
      </c>
      <c r="G14" s="320" t="str">
        <f>IF(AND(career_stage="P",teacher_type="TB",TBPI[[#This Row],[CO]]="COI/NCOI",TBPI[[#This Row],[Selected]]),VLOOKUP(TBPI[[#This Row],[Strand]],coi_ncoi_select,COLUMNS(coi_ncoi_select),FALSE),TBPI[[#This Row],[CO]])</f>
        <v>COI</v>
      </c>
      <c r="H14" s="323">
        <f>VLOOKUP(TBPI[[#This Row],[Strand]],indSelect_TBP,6,FALSE)</f>
        <v>0</v>
      </c>
      <c r="I14" s="320" t="str">
        <f>IFERROR(IF(AND(TBPI[[#This Row],[Selected]],TBPI[[#This Row],[CO]]="COI/NCOI"),VLOOKUP(TBPI[[#This Row],[Strand]],indSelect_TBP,9,FALSE),TBPI[[#This Row],[CO]]),TBPI[[#This Row],[CO]])</f>
        <v>COI</v>
      </c>
      <c r="J14" s="321" t="b">
        <f>IF(AND(required_cot&gt;=1,TBPI[[#This Row],[Selected]]),VLOOKUP(TBPI[[#This Row],[Strand]],indSelect_TBP,10,FALSE)=1,FALSE)</f>
        <v>0</v>
      </c>
      <c r="K14" s="321" t="b">
        <f>IF(AND(required_cot&gt;=2,TBPI[[#This Row],[Selected]]),VLOOKUP(TBPI[[#This Row],[Strand]],indSelect_TBP,11,FALSE)=1,FALSE)</f>
        <v>0</v>
      </c>
      <c r="L14" s="321" t="b">
        <f>IF(AND(required_cot&gt;=3,TBPI[[#This Row],[Selected]]),VLOOKUP(TBPI[[#This Row],[Strand]],indSelect_TBP,12,FALSE)=1,FALSE)</f>
        <v>0</v>
      </c>
      <c r="M14" s="321" t="b">
        <f>IF(AND(required_cot&gt;=4,TBPI[[#This Row],[Selected]]),VLOOKUP(TBPI[[#This Row],[Strand]],indSelect_TBP,13,FALSE)=1,FALSE)</f>
        <v>0</v>
      </c>
    </row>
    <row r="15" spans="1:13" ht="60" x14ac:dyDescent="0.25">
      <c r="A15" s="22">
        <v>3.1</v>
      </c>
      <c r="B15" s="18" t="s">
        <v>1299</v>
      </c>
      <c r="C15" s="13">
        <v>3</v>
      </c>
      <c r="D15" s="331" t="str">
        <f>IFERROR(IF(AND(COUNTIF(TBPS[helper],TBPI[[#This Row],[Strand]]&amp;"-Q-COI")&gt;0,COUNTIF(TBPS[helper],TBPI[[#This Row],[Strand]]&amp;"-Q-NCOI")&gt;0),"COI/NCOI",IF(COUNTIF(TBPS[helper],TBPI[[#This Row],[Strand]]&amp;"-Q-COI")&gt;0,"COI",IF(COUNTIF(TBPS[helper],TBPI[[#This Row],[Strand]]&amp;"-Q-NCOI")&gt;0,"NCOI",""))),"")</f>
        <v>COI</v>
      </c>
      <c r="E15" s="36">
        <v>1</v>
      </c>
      <c r="F15" s="320" t="b">
        <f>VLOOKUP(TBPI[[#This Row],[Strand]],indSelect_TBP,7,FALSE)</f>
        <v>0</v>
      </c>
      <c r="G15" s="320" t="str">
        <f>IF(AND(career_stage="P",teacher_type="TB",TBPI[[#This Row],[CO]]="COI/NCOI",TBPI[[#This Row],[Selected]]),VLOOKUP(TBPI[[#This Row],[Strand]],coi_ncoi_select,COLUMNS(coi_ncoi_select),FALSE),TBPI[[#This Row],[CO]])</f>
        <v>COI</v>
      </c>
      <c r="H15" s="323">
        <f>VLOOKUP(TBPI[[#This Row],[Strand]],indSelect_TBP,6,FALSE)</f>
        <v>0</v>
      </c>
      <c r="I15" s="320" t="str">
        <f>IFERROR(IF(AND(TBPI[[#This Row],[Selected]],TBPI[[#This Row],[CO]]="COI/NCOI"),VLOOKUP(TBPI[[#This Row],[Strand]],indSelect_TBP,9,FALSE),TBPI[[#This Row],[CO]]),TBPI[[#This Row],[CO]])</f>
        <v>COI</v>
      </c>
      <c r="J15" s="321" t="b">
        <f>IF(AND(required_cot&gt;=1,TBPI[[#This Row],[Selected]]),VLOOKUP(TBPI[[#This Row],[Strand]],indSelect_TBP,10,FALSE)=1,FALSE)</f>
        <v>0</v>
      </c>
      <c r="K15" s="321" t="b">
        <f>IF(AND(required_cot&gt;=2,TBPI[[#This Row],[Selected]]),VLOOKUP(TBPI[[#This Row],[Strand]],indSelect_TBP,11,FALSE)=1,FALSE)</f>
        <v>0</v>
      </c>
      <c r="L15" s="321" t="b">
        <f>IF(AND(required_cot&gt;=3,TBPI[[#This Row],[Selected]]),VLOOKUP(TBPI[[#This Row],[Strand]],indSelect_TBP,12,FALSE)=1,FALSE)</f>
        <v>0</v>
      </c>
      <c r="M15" s="321" t="b">
        <f>IF(AND(required_cot&gt;=4,TBPI[[#This Row],[Selected]]),VLOOKUP(TBPI[[#This Row],[Strand]],indSelect_TBP,13,FALSE)=1,FALSE)</f>
        <v>0</v>
      </c>
    </row>
    <row r="16" spans="1:13" ht="60" x14ac:dyDescent="0.25">
      <c r="A16" s="22">
        <v>3.2</v>
      </c>
      <c r="B16" s="19" t="s">
        <v>1301</v>
      </c>
      <c r="C16" s="13">
        <v>3</v>
      </c>
      <c r="D16" s="320" t="str">
        <f>IFERROR(IF(AND(COUNTIF(TBPS[helper],TBPI[[#This Row],[Strand]]&amp;"-Q-COI")&gt;0,COUNTIF(TBPS[helper],TBPI[[#This Row],[Strand]]&amp;"-Q-NCOI")&gt;0),"COI/NCOI",IF(COUNTIF(TBPS[helper],TBPI[[#This Row],[Strand]]&amp;"-Q-COI")&gt;0,"COI",IF(COUNTIF(TBPS[helper],TBPI[[#This Row],[Strand]]&amp;"-Q-NCOI")&gt;0,"NCOI",""))),"")</f>
        <v>NCOI</v>
      </c>
      <c r="E16" s="13">
        <v>2</v>
      </c>
      <c r="F16" s="320" t="b">
        <f>VLOOKUP(TBPI[[#This Row],[Strand]],indSelect_TBP,7,FALSE)</f>
        <v>0</v>
      </c>
      <c r="G16" s="320" t="str">
        <f>IF(AND(career_stage="P",teacher_type="TB",TBPI[[#This Row],[CO]]="COI/NCOI",TBPI[[#This Row],[Selected]]),VLOOKUP(TBPI[[#This Row],[Strand]],coi_ncoi_select,COLUMNS(coi_ncoi_select),FALSE),TBPI[[#This Row],[CO]])</f>
        <v>NCOI</v>
      </c>
      <c r="H16" s="323">
        <f>VLOOKUP(TBPI[[#This Row],[Strand]],indSelect_TBP,6,FALSE)</f>
        <v>0</v>
      </c>
      <c r="I16" s="320" t="str">
        <f>IFERROR(IF(AND(TBPI[[#This Row],[Selected]],TBPI[[#This Row],[CO]]="COI/NCOI"),VLOOKUP(TBPI[[#This Row],[Strand]],indSelect_TBP,9,FALSE),TBPI[[#This Row],[CO]]),TBPI[[#This Row],[CO]])</f>
        <v>NCOI</v>
      </c>
      <c r="J16" s="321" t="b">
        <f>IF(AND(required_cot&gt;=1,TBPI[[#This Row],[Selected]]),VLOOKUP(TBPI[[#This Row],[Strand]],indSelect_TBP,10,FALSE)=1,FALSE)</f>
        <v>0</v>
      </c>
      <c r="K16" s="321" t="b">
        <f>IF(AND(required_cot&gt;=2,TBPI[[#This Row],[Selected]]),VLOOKUP(TBPI[[#This Row],[Strand]],indSelect_TBP,11,FALSE)=1,FALSE)</f>
        <v>0</v>
      </c>
      <c r="L16" s="321" t="b">
        <f>IF(AND(required_cot&gt;=3,TBPI[[#This Row],[Selected]]),VLOOKUP(TBPI[[#This Row],[Strand]],indSelect_TBP,12,FALSE)=1,FALSE)</f>
        <v>0</v>
      </c>
      <c r="M16" s="321" t="b">
        <f>IF(AND(required_cot&gt;=4,TBPI[[#This Row],[Selected]]),VLOOKUP(TBPI[[#This Row],[Strand]],indSelect_TBP,13,FALSE)=1,FALSE)</f>
        <v>0</v>
      </c>
    </row>
    <row r="17" spans="1:13" ht="45" x14ac:dyDescent="0.25">
      <c r="A17" s="22">
        <v>3.3</v>
      </c>
      <c r="B17" s="18" t="s">
        <v>1303</v>
      </c>
      <c r="C17" s="13">
        <v>3</v>
      </c>
      <c r="D17" s="320" t="str">
        <f>IFERROR(IF(AND(COUNTIF(TBPS[helper],TBPI[[#This Row],[Strand]]&amp;"-Q-COI")&gt;0,COUNTIF(TBPS[helper],TBPI[[#This Row],[Strand]]&amp;"-Q-NCOI")&gt;0),"COI/NCOI",IF(COUNTIF(TBPS[helper],TBPI[[#This Row],[Strand]]&amp;"-Q-COI")&gt;0,"COI",IF(COUNTIF(TBPS[helper],TBPI[[#This Row],[Strand]]&amp;"-Q-NCOI")&gt;0,"NCOI",""))),"")</f>
        <v>COI/NCOI</v>
      </c>
      <c r="E17" s="13">
        <v>3</v>
      </c>
      <c r="F17" s="320" t="b">
        <f>VLOOKUP(TBPI[[#This Row],[Strand]],indSelect_TBP,7,FALSE)</f>
        <v>0</v>
      </c>
      <c r="G17" s="320" t="str">
        <f>IF(AND(career_stage="P",teacher_type="TB",TBPI[[#This Row],[CO]]="COI/NCOI",TBPI[[#This Row],[Selected]]),VLOOKUP(TBPI[[#This Row],[Strand]],coi_ncoi_select,COLUMNS(coi_ncoi_select),FALSE),TBPI[[#This Row],[CO]])</f>
        <v>COI/NCOI</v>
      </c>
      <c r="H17" s="323">
        <f>VLOOKUP(TBPI[[#This Row],[Strand]],indSelect_TBP,6,FALSE)</f>
        <v>0</v>
      </c>
      <c r="I17" s="320" t="str">
        <f>IFERROR(IF(AND(TBPI[[#This Row],[Selected]],TBPI[[#This Row],[CO]]="COI/NCOI"),VLOOKUP(TBPI[[#This Row],[Strand]],indSelect_TBP,9,FALSE),TBPI[[#This Row],[CO]]),TBPI[[#This Row],[CO]])</f>
        <v>COI/NCOI</v>
      </c>
      <c r="J17" s="321" t="b">
        <f>IF(AND(required_cot&gt;=1,TBPI[[#This Row],[Selected]]),VLOOKUP(TBPI[[#This Row],[Strand]],indSelect_TBP,10,FALSE)=1,FALSE)</f>
        <v>0</v>
      </c>
      <c r="K17" s="321" t="b">
        <f>IF(AND(required_cot&gt;=2,TBPI[[#This Row],[Selected]]),VLOOKUP(TBPI[[#This Row],[Strand]],indSelect_TBP,11,FALSE)=1,FALSE)</f>
        <v>0</v>
      </c>
      <c r="L17" s="321" t="b">
        <f>IF(AND(required_cot&gt;=3,TBPI[[#This Row],[Selected]]),VLOOKUP(TBPI[[#This Row],[Strand]],indSelect_TBP,12,FALSE)=1,FALSE)</f>
        <v>0</v>
      </c>
      <c r="M17" s="321" t="b">
        <f>IF(AND(required_cot&gt;=4,TBPI[[#This Row],[Selected]]),VLOOKUP(TBPI[[#This Row],[Strand]],indSelect_TBP,13,FALSE)=1,FALSE)</f>
        <v>0</v>
      </c>
    </row>
    <row r="18" spans="1:13" ht="105" x14ac:dyDescent="0.25">
      <c r="A18" s="22">
        <v>3.4</v>
      </c>
      <c r="B18" s="19" t="s">
        <v>1737</v>
      </c>
      <c r="C18" s="13">
        <v>3</v>
      </c>
      <c r="D18" s="320" t="str">
        <f>IFERROR(IF(AND(COUNTIF(TBPS[helper],TBPI[[#This Row],[Strand]]&amp;"-Q-COI")&gt;0,COUNTIF(TBPS[helper],TBPI[[#This Row],[Strand]]&amp;"-Q-NCOI")&gt;0),"COI/NCOI",IF(COUNTIF(TBPS[helper],TBPI[[#This Row],[Strand]]&amp;"-Q-COI")&gt;0,"COI",IF(COUNTIF(TBPS[helper],TBPI[[#This Row],[Strand]]&amp;"-Q-NCOI")&gt;0,"NCOI",""))),"")</f>
        <v>COI</v>
      </c>
      <c r="E18" s="13">
        <v>2</v>
      </c>
      <c r="F18" s="320" t="b">
        <f>VLOOKUP(TBPI[[#This Row],[Strand]],indSelect_TBP,7,FALSE)</f>
        <v>0</v>
      </c>
      <c r="G18" s="320" t="str">
        <f>IF(AND(career_stage="P",teacher_type="TB",TBPI[[#This Row],[CO]]="COI/NCOI",TBPI[[#This Row],[Selected]]),VLOOKUP(TBPI[[#This Row],[Strand]],coi_ncoi_select,COLUMNS(coi_ncoi_select),FALSE),TBPI[[#This Row],[CO]])</f>
        <v>COI</v>
      </c>
      <c r="H18" s="323">
        <f>VLOOKUP(TBPI[[#This Row],[Strand]],indSelect_TBP,6,FALSE)</f>
        <v>0</v>
      </c>
      <c r="I18" s="320" t="str">
        <f>IFERROR(IF(AND(TBPI[[#This Row],[Selected]],TBPI[[#This Row],[CO]]="COI/NCOI"),VLOOKUP(TBPI[[#This Row],[Strand]],indSelect_TBP,9,FALSE),TBPI[[#This Row],[CO]]),TBPI[[#This Row],[CO]])</f>
        <v>COI</v>
      </c>
      <c r="J18" s="321" t="b">
        <f>IF(AND(required_cot&gt;=1,TBPI[[#This Row],[Selected]]),VLOOKUP(TBPI[[#This Row],[Strand]],indSelect_TBP,10,FALSE)=1,FALSE)</f>
        <v>0</v>
      </c>
      <c r="K18" s="321" t="b">
        <f>IF(AND(required_cot&gt;=2,TBPI[[#This Row],[Selected]]),VLOOKUP(TBPI[[#This Row],[Strand]],indSelect_TBP,11,FALSE)=1,FALSE)</f>
        <v>0</v>
      </c>
      <c r="L18" s="321" t="b">
        <f>IF(AND(required_cot&gt;=3,TBPI[[#This Row],[Selected]]),VLOOKUP(TBPI[[#This Row],[Strand]],indSelect_TBP,12,FALSE)=1,FALSE)</f>
        <v>0</v>
      </c>
      <c r="M18" s="321" t="b">
        <f>IF(AND(required_cot&gt;=4,TBPI[[#This Row],[Selected]]),VLOOKUP(TBPI[[#This Row],[Strand]],indSelect_TBP,13,FALSE)=1,FALSE)</f>
        <v>0</v>
      </c>
    </row>
    <row r="19" spans="1:13" ht="45" x14ac:dyDescent="0.25">
      <c r="A19" s="22">
        <v>3.5</v>
      </c>
      <c r="B19" s="18" t="s">
        <v>1307</v>
      </c>
      <c r="C19" s="13">
        <v>3</v>
      </c>
      <c r="D19" s="320" t="str">
        <f>IFERROR(IF(AND(COUNTIF(TBPS[helper],TBPI[[#This Row],[Strand]]&amp;"-Q-COI")&gt;0,COUNTIF(TBPS[helper],TBPI[[#This Row],[Strand]]&amp;"-Q-NCOI")&gt;0),"COI/NCOI",IF(COUNTIF(TBPS[helper],TBPI[[#This Row],[Strand]]&amp;"-Q-COI")&gt;0,"COI",IF(COUNTIF(TBPS[helper],TBPI[[#This Row],[Strand]]&amp;"-Q-NCOI")&gt;0,"NCOI",""))),"")</f>
        <v>COI/NCOI</v>
      </c>
      <c r="E19" s="13">
        <v>3</v>
      </c>
      <c r="F19" s="320" t="b">
        <f>VLOOKUP(TBPI[[#This Row],[Strand]],indSelect_TBP,7,FALSE)</f>
        <v>0</v>
      </c>
      <c r="G19" s="320" t="str">
        <f>IF(AND(career_stage="P",teacher_type="TB",TBPI[[#This Row],[CO]]="COI/NCOI",TBPI[[#This Row],[Selected]]),VLOOKUP(TBPI[[#This Row],[Strand]],coi_ncoi_select,COLUMNS(coi_ncoi_select),FALSE),TBPI[[#This Row],[CO]])</f>
        <v>COI/NCOI</v>
      </c>
      <c r="H19" s="323">
        <f>VLOOKUP(TBPI[[#This Row],[Strand]],indSelect_TBP,6,FALSE)</f>
        <v>0</v>
      </c>
      <c r="I19" s="320" t="str">
        <f>IFERROR(IF(AND(TBPI[[#This Row],[Selected]],TBPI[[#This Row],[CO]]="COI/NCOI"),VLOOKUP(TBPI[[#This Row],[Strand]],indSelect_TBP,9,FALSE),TBPI[[#This Row],[CO]]),TBPI[[#This Row],[CO]])</f>
        <v>COI/NCOI</v>
      </c>
      <c r="J19" s="321" t="b">
        <f>IF(AND(required_cot&gt;=1,TBPI[[#This Row],[Selected]]),VLOOKUP(TBPI[[#This Row],[Strand]],indSelect_TBP,10,FALSE)=1,FALSE)</f>
        <v>0</v>
      </c>
      <c r="K19" s="321" t="b">
        <f>IF(AND(required_cot&gt;=2,TBPI[[#This Row],[Selected]]),VLOOKUP(TBPI[[#This Row],[Strand]],indSelect_TBP,11,FALSE)=1,FALSE)</f>
        <v>0</v>
      </c>
      <c r="L19" s="321" t="b">
        <f>IF(AND(required_cot&gt;=3,TBPI[[#This Row],[Selected]]),VLOOKUP(TBPI[[#This Row],[Strand]],indSelect_TBP,12,FALSE)=1,FALSE)</f>
        <v>0</v>
      </c>
      <c r="M19" s="321" t="b">
        <f>IF(AND(required_cot&gt;=4,TBPI[[#This Row],[Selected]]),VLOOKUP(TBPI[[#This Row],[Strand]],indSelect_TBP,13,FALSE)=1,FALSE)</f>
        <v>0</v>
      </c>
    </row>
    <row r="20" spans="1:13" ht="63.6" customHeight="1" x14ac:dyDescent="0.25">
      <c r="A20" s="22">
        <v>4.0999999999999996</v>
      </c>
      <c r="B20" s="18" t="s">
        <v>1309</v>
      </c>
      <c r="C20" s="13">
        <v>4</v>
      </c>
      <c r="D20" s="331" t="str">
        <f>IFERROR(IF(AND(COUNTIF(TBPS[helper],TBPI[[#This Row],[Strand]]&amp;"-Q-COI")&gt;0,COUNTIF(TBPS[helper],TBPI[[#This Row],[Strand]]&amp;"-Q-NCOI")&gt;0),"COI/NCOI",IF(COUNTIF(TBPS[helper],TBPI[[#This Row],[Strand]]&amp;"-Q-COI")&gt;0,"COI",IF(COUNTIF(TBPS[helper],TBPI[[#This Row],[Strand]]&amp;"-Q-NCOI")&gt;0,"NCOI",""))),"")</f>
        <v>COI</v>
      </c>
      <c r="E20" s="36">
        <v>1</v>
      </c>
      <c r="F20" s="320" t="b">
        <f>VLOOKUP(TBPI[[#This Row],[Strand]],indSelect_TBP,7,FALSE)</f>
        <v>0</v>
      </c>
      <c r="G20" s="320" t="str">
        <f>IF(AND(career_stage="P",teacher_type="TB",TBPI[[#This Row],[CO]]="COI/NCOI",TBPI[[#This Row],[Selected]]),VLOOKUP(TBPI[[#This Row],[Strand]],coi_ncoi_select,COLUMNS(coi_ncoi_select),FALSE),TBPI[[#This Row],[CO]])</f>
        <v>COI</v>
      </c>
      <c r="H20" s="323">
        <f>VLOOKUP(TBPI[[#This Row],[Strand]],indSelect_TBP,6,FALSE)</f>
        <v>0</v>
      </c>
      <c r="I20" s="320" t="str">
        <f>IFERROR(IF(AND(TBPI[[#This Row],[Selected]],TBPI[[#This Row],[CO]]="COI/NCOI"),VLOOKUP(TBPI[[#This Row],[Strand]],indSelect_TBP,9,FALSE),TBPI[[#This Row],[CO]]),TBPI[[#This Row],[CO]])</f>
        <v>COI</v>
      </c>
      <c r="J20" s="321" t="b">
        <f>IF(AND(required_cot&gt;=1,TBPI[[#This Row],[Selected]]),VLOOKUP(TBPI[[#This Row],[Strand]],indSelect_TBP,10,FALSE)=1,FALSE)</f>
        <v>0</v>
      </c>
      <c r="K20" s="321" t="b">
        <f>IF(AND(required_cot&gt;=2,TBPI[[#This Row],[Selected]]),VLOOKUP(TBPI[[#This Row],[Strand]],indSelect_TBP,11,FALSE)=1,FALSE)</f>
        <v>0</v>
      </c>
      <c r="L20" s="321" t="b">
        <f>IF(AND(required_cot&gt;=3,TBPI[[#This Row],[Selected]]),VLOOKUP(TBPI[[#This Row],[Strand]],indSelect_TBP,12,FALSE)=1,FALSE)</f>
        <v>0</v>
      </c>
      <c r="M20" s="321" t="b">
        <f>IF(AND(required_cot&gt;=4,TBPI[[#This Row],[Selected]]),VLOOKUP(TBPI[[#This Row],[Strand]],indSelect_TBP,13,FALSE)=1,FALSE)</f>
        <v>0</v>
      </c>
    </row>
    <row r="21" spans="1:13" ht="45" x14ac:dyDescent="0.25">
      <c r="A21" s="22">
        <v>4.2</v>
      </c>
      <c r="B21" s="19" t="s">
        <v>1311</v>
      </c>
      <c r="C21" s="13">
        <v>4</v>
      </c>
      <c r="D21" s="320" t="str">
        <f>IFERROR(IF(AND(COUNTIF(TBPS[helper],TBPI[[#This Row],[Strand]]&amp;"-Q-COI")&gt;0,COUNTIF(TBPS[helper],TBPI[[#This Row],[Strand]]&amp;"-Q-NCOI")&gt;0),"COI/NCOI",IF(COUNTIF(TBPS[helper],TBPI[[#This Row],[Strand]]&amp;"-Q-COI")&gt;0,"COI",IF(COUNTIF(TBPS[helper],TBPI[[#This Row],[Strand]]&amp;"-Q-NCOI")&gt;0,"NCOI",""))),"")</f>
        <v>NCOI</v>
      </c>
      <c r="E21" s="13">
        <v>2</v>
      </c>
      <c r="F21" s="320" t="b">
        <f>VLOOKUP(TBPI[[#This Row],[Strand]],indSelect_TBP,7,FALSE)</f>
        <v>0</v>
      </c>
      <c r="G21" s="320" t="str">
        <f>IF(AND(career_stage="P",teacher_type="TB",TBPI[[#This Row],[CO]]="COI/NCOI",TBPI[[#This Row],[Selected]]),VLOOKUP(TBPI[[#This Row],[Strand]],coi_ncoi_select,COLUMNS(coi_ncoi_select),FALSE),TBPI[[#This Row],[CO]])</f>
        <v>NCOI</v>
      </c>
      <c r="H21" s="323">
        <f>VLOOKUP(TBPI[[#This Row],[Strand]],indSelect_TBP,6,FALSE)</f>
        <v>0</v>
      </c>
      <c r="I21" s="320" t="str">
        <f>IFERROR(IF(AND(TBPI[[#This Row],[Selected]],TBPI[[#This Row],[CO]]="COI/NCOI"),VLOOKUP(TBPI[[#This Row],[Strand]],indSelect_TBP,9,FALSE),TBPI[[#This Row],[CO]]),TBPI[[#This Row],[CO]])</f>
        <v>NCOI</v>
      </c>
      <c r="J21" s="321" t="b">
        <f>IF(AND(required_cot&gt;=1,TBPI[[#This Row],[Selected]]),VLOOKUP(TBPI[[#This Row],[Strand]],indSelect_TBP,10,FALSE)=1,FALSE)</f>
        <v>0</v>
      </c>
      <c r="K21" s="321" t="b">
        <f>IF(AND(required_cot&gt;=2,TBPI[[#This Row],[Selected]]),VLOOKUP(TBPI[[#This Row],[Strand]],indSelect_TBP,11,FALSE)=1,FALSE)</f>
        <v>0</v>
      </c>
      <c r="L21" s="321" t="b">
        <f>IF(AND(required_cot&gt;=3,TBPI[[#This Row],[Selected]]),VLOOKUP(TBPI[[#This Row],[Strand]],indSelect_TBP,12,FALSE)=1,FALSE)</f>
        <v>0</v>
      </c>
      <c r="M21" s="321" t="b">
        <f>IF(AND(required_cot&gt;=4,TBPI[[#This Row],[Selected]]),VLOOKUP(TBPI[[#This Row],[Strand]],indSelect_TBP,13,FALSE)=1,FALSE)</f>
        <v>0</v>
      </c>
    </row>
    <row r="22" spans="1:13" ht="45" x14ac:dyDescent="0.25">
      <c r="A22" s="22">
        <v>4.3</v>
      </c>
      <c r="B22" s="19" t="s">
        <v>1313</v>
      </c>
      <c r="C22" s="13">
        <v>4</v>
      </c>
      <c r="D22" s="320" t="str">
        <f>IFERROR(IF(AND(COUNTIF(TBPS[helper],TBPI[[#This Row],[Strand]]&amp;"-Q-COI")&gt;0,COUNTIF(TBPS[helper],TBPI[[#This Row],[Strand]]&amp;"-Q-NCOI")&gt;0),"COI/NCOI",IF(COUNTIF(TBPS[helper],TBPI[[#This Row],[Strand]]&amp;"-Q-COI")&gt;0,"COI",IF(COUNTIF(TBPS[helper],TBPI[[#This Row],[Strand]]&amp;"-Q-NCOI")&gt;0,"NCOI",""))),"")</f>
        <v>NCOI</v>
      </c>
      <c r="E22" s="13">
        <v>3</v>
      </c>
      <c r="F22" s="320" t="b">
        <f>VLOOKUP(TBPI[[#This Row],[Strand]],indSelect_TBP,7,FALSE)</f>
        <v>0</v>
      </c>
      <c r="G22" s="320" t="str">
        <f>IF(AND(career_stage="P",teacher_type="TB",TBPI[[#This Row],[CO]]="COI/NCOI",TBPI[[#This Row],[Selected]]),VLOOKUP(TBPI[[#This Row],[Strand]],coi_ncoi_select,COLUMNS(coi_ncoi_select),FALSE),TBPI[[#This Row],[CO]])</f>
        <v>NCOI</v>
      </c>
      <c r="H22" s="323">
        <f>VLOOKUP(TBPI[[#This Row],[Strand]],indSelect_TBP,6,FALSE)</f>
        <v>0</v>
      </c>
      <c r="I22" s="320" t="str">
        <f>IFERROR(IF(AND(TBPI[[#This Row],[Selected]],TBPI[[#This Row],[CO]]="COI/NCOI"),VLOOKUP(TBPI[[#This Row],[Strand]],indSelect_TBP,9,FALSE),TBPI[[#This Row],[CO]]),TBPI[[#This Row],[CO]])</f>
        <v>NCOI</v>
      </c>
      <c r="J22" s="321" t="b">
        <f>IF(AND(required_cot&gt;=1,TBPI[[#This Row],[Selected]]),VLOOKUP(TBPI[[#This Row],[Strand]],indSelect_TBP,10,FALSE)=1,FALSE)</f>
        <v>0</v>
      </c>
      <c r="K22" s="321" t="b">
        <f>IF(AND(required_cot&gt;=2,TBPI[[#This Row],[Selected]]),VLOOKUP(TBPI[[#This Row],[Strand]],indSelect_TBP,11,FALSE)=1,FALSE)</f>
        <v>0</v>
      </c>
      <c r="L22" s="321" t="b">
        <f>IF(AND(required_cot&gt;=3,TBPI[[#This Row],[Selected]]),VLOOKUP(TBPI[[#This Row],[Strand]],indSelect_TBP,12,FALSE)=1,FALSE)</f>
        <v>0</v>
      </c>
      <c r="M22" s="321" t="b">
        <f>IF(AND(required_cot&gt;=4,TBPI[[#This Row],[Selected]]),VLOOKUP(TBPI[[#This Row],[Strand]],indSelect_TBP,13,FALSE)=1,FALSE)</f>
        <v>0</v>
      </c>
    </row>
    <row r="23" spans="1:13" ht="45" x14ac:dyDescent="0.25">
      <c r="A23" s="22">
        <v>4.4000000000000004</v>
      </c>
      <c r="B23" s="18" t="s">
        <v>1315</v>
      </c>
      <c r="C23" s="13">
        <v>4</v>
      </c>
      <c r="D23" s="331" t="str">
        <f>IFERROR(IF(AND(COUNTIF(TBPS[helper],TBPI[[#This Row],[Strand]]&amp;"-Q-COI")&gt;0,COUNTIF(TBPS[helper],TBPI[[#This Row],[Strand]]&amp;"-Q-NCOI")&gt;0),"COI/NCOI",IF(COUNTIF(TBPS[helper],TBPI[[#This Row],[Strand]]&amp;"-Q-COI")&gt;0,"COI",IF(COUNTIF(TBPS[helper],TBPI[[#This Row],[Strand]]&amp;"-Q-NCOI")&gt;0,"NCOI",""))),"")</f>
        <v>NCOI</v>
      </c>
      <c r="E23" s="36">
        <v>1</v>
      </c>
      <c r="F23" s="320" t="b">
        <f>VLOOKUP(TBPI[[#This Row],[Strand]],indSelect_TBP,7,FALSE)</f>
        <v>0</v>
      </c>
      <c r="G23" s="320" t="str">
        <f>IF(AND(career_stage="P",teacher_type="TB",TBPI[[#This Row],[CO]]="COI/NCOI",TBPI[[#This Row],[Selected]]),VLOOKUP(TBPI[[#This Row],[Strand]],coi_ncoi_select,COLUMNS(coi_ncoi_select),FALSE),TBPI[[#This Row],[CO]])</f>
        <v>NCOI</v>
      </c>
      <c r="H23" s="323">
        <f>VLOOKUP(TBPI[[#This Row],[Strand]],indSelect_TBP,6,FALSE)</f>
        <v>0</v>
      </c>
      <c r="I23" s="320" t="str">
        <f>IFERROR(IF(AND(TBPI[[#This Row],[Selected]],TBPI[[#This Row],[CO]]="COI/NCOI"),VLOOKUP(TBPI[[#This Row],[Strand]],indSelect_TBP,9,FALSE),TBPI[[#This Row],[CO]]),TBPI[[#This Row],[CO]])</f>
        <v>NCOI</v>
      </c>
      <c r="J23" s="321" t="b">
        <f>IF(AND(required_cot&gt;=1,TBPI[[#This Row],[Selected]]),VLOOKUP(TBPI[[#This Row],[Strand]],indSelect_TBP,10,FALSE)=1,FALSE)</f>
        <v>0</v>
      </c>
      <c r="K23" s="321" t="b">
        <f>IF(AND(required_cot&gt;=2,TBPI[[#This Row],[Selected]]),VLOOKUP(TBPI[[#This Row],[Strand]],indSelect_TBP,11,FALSE)=1,FALSE)</f>
        <v>0</v>
      </c>
      <c r="L23" s="321" t="b">
        <f>IF(AND(required_cot&gt;=3,TBPI[[#This Row],[Selected]]),VLOOKUP(TBPI[[#This Row],[Strand]],indSelect_TBP,12,FALSE)=1,FALSE)</f>
        <v>0</v>
      </c>
      <c r="M23" s="321" t="b">
        <f>IF(AND(required_cot&gt;=4,TBPI[[#This Row],[Selected]]),VLOOKUP(TBPI[[#This Row],[Strand]],indSelect_TBP,13,FALSE)=1,FALSE)</f>
        <v>0</v>
      </c>
    </row>
    <row r="24" spans="1:13" ht="45" x14ac:dyDescent="0.25">
      <c r="A24" s="22">
        <v>4.5</v>
      </c>
      <c r="B24" s="18" t="s">
        <v>1317</v>
      </c>
      <c r="C24" s="13">
        <v>4</v>
      </c>
      <c r="D24" s="320" t="str">
        <f>IFERROR(IF(AND(COUNTIF(TBPS[helper],TBPI[[#This Row],[Strand]]&amp;"-Q-COI")&gt;0,COUNTIF(TBPS[helper],TBPI[[#This Row],[Strand]]&amp;"-Q-NCOI")&gt;0),"COI/NCOI",IF(COUNTIF(TBPS[helper],TBPI[[#This Row],[Strand]]&amp;"-Q-COI")&gt;0,"COI",IF(COUNTIF(TBPS[helper],TBPI[[#This Row],[Strand]]&amp;"-Q-NCOI")&gt;0,"NCOI",""))),"")</f>
        <v>COI</v>
      </c>
      <c r="E24" s="13">
        <v>2</v>
      </c>
      <c r="F24" s="320" t="b">
        <f>VLOOKUP(TBPI[[#This Row],[Strand]],indSelect_TBP,7,FALSE)</f>
        <v>0</v>
      </c>
      <c r="G24" s="320" t="str">
        <f>IF(AND(career_stage="P",teacher_type="TB",TBPI[[#This Row],[CO]]="COI/NCOI",TBPI[[#This Row],[Selected]]),VLOOKUP(TBPI[[#This Row],[Strand]],coi_ncoi_select,COLUMNS(coi_ncoi_select),FALSE),TBPI[[#This Row],[CO]])</f>
        <v>COI</v>
      </c>
      <c r="H24" s="323">
        <f>VLOOKUP(TBPI[[#This Row],[Strand]],indSelect_TBP,6,FALSE)</f>
        <v>0</v>
      </c>
      <c r="I24" s="320" t="str">
        <f>IFERROR(IF(AND(TBPI[[#This Row],[Selected]],TBPI[[#This Row],[CO]]="COI/NCOI"),VLOOKUP(TBPI[[#This Row],[Strand]],indSelect_TBP,9,FALSE),TBPI[[#This Row],[CO]]),TBPI[[#This Row],[CO]])</f>
        <v>COI</v>
      </c>
      <c r="J24" s="321" t="b">
        <f>IF(AND(required_cot&gt;=1,TBPI[[#This Row],[Selected]]),VLOOKUP(TBPI[[#This Row],[Strand]],indSelect_TBP,10,FALSE)=1,FALSE)</f>
        <v>0</v>
      </c>
      <c r="K24" s="321" t="b">
        <f>IF(AND(required_cot&gt;=2,TBPI[[#This Row],[Selected]]),VLOOKUP(TBPI[[#This Row],[Strand]],indSelect_TBP,11,FALSE)=1,FALSE)</f>
        <v>0</v>
      </c>
      <c r="L24" s="321" t="b">
        <f>IF(AND(required_cot&gt;=3,TBPI[[#This Row],[Selected]]),VLOOKUP(TBPI[[#This Row],[Strand]],indSelect_TBP,12,FALSE)=1,FALSE)</f>
        <v>0</v>
      </c>
      <c r="M24" s="321" t="b">
        <f>IF(AND(required_cot&gt;=4,TBPI[[#This Row],[Selected]]),VLOOKUP(TBPI[[#This Row],[Strand]],indSelect_TBP,13,FALSE)=1,FALSE)</f>
        <v>0</v>
      </c>
    </row>
    <row r="25" spans="1:13" ht="60" x14ac:dyDescent="0.25">
      <c r="A25" s="22">
        <v>5.0999999999999996</v>
      </c>
      <c r="B25" s="18" t="s">
        <v>1319</v>
      </c>
      <c r="C25" s="13">
        <v>5</v>
      </c>
      <c r="D25" s="331" t="str">
        <f>IFERROR(IF(AND(COUNTIF(TBPS[helper],TBPI[[#This Row],[Strand]]&amp;"-Q-COI")&gt;0,COUNTIF(TBPS[helper],TBPI[[#This Row],[Strand]]&amp;"-Q-NCOI")&gt;0),"COI/NCOI",IF(COUNTIF(TBPS[helper],TBPI[[#This Row],[Strand]]&amp;"-Q-COI")&gt;0,"COI",IF(COUNTIF(TBPS[helper],TBPI[[#This Row],[Strand]]&amp;"-Q-NCOI")&gt;0,"NCOI",""))),"")</f>
        <v>COI</v>
      </c>
      <c r="E25" s="36">
        <v>1</v>
      </c>
      <c r="F25" s="320" t="b">
        <f>VLOOKUP(TBPI[[#This Row],[Strand]],indSelect_TBP,7,FALSE)</f>
        <v>0</v>
      </c>
      <c r="G25" s="320" t="str">
        <f>IF(AND(career_stage="P",teacher_type="TB",TBPI[[#This Row],[CO]]="COI/NCOI",TBPI[[#This Row],[Selected]]),VLOOKUP(TBPI[[#This Row],[Strand]],coi_ncoi_select,COLUMNS(coi_ncoi_select),FALSE),TBPI[[#This Row],[CO]])</f>
        <v>COI</v>
      </c>
      <c r="H25" s="323">
        <f>VLOOKUP(TBPI[[#This Row],[Strand]],indSelect_TBP,6,FALSE)</f>
        <v>0</v>
      </c>
      <c r="I25" s="320" t="str">
        <f>IFERROR(IF(AND(TBPI[[#This Row],[Selected]],TBPI[[#This Row],[CO]]="COI/NCOI"),VLOOKUP(TBPI[[#This Row],[Strand]],indSelect_TBP,9,FALSE),TBPI[[#This Row],[CO]]),TBPI[[#This Row],[CO]])</f>
        <v>COI</v>
      </c>
      <c r="J25" s="321" t="b">
        <f>IF(AND(required_cot&gt;=1,TBPI[[#This Row],[Selected]]),VLOOKUP(TBPI[[#This Row],[Strand]],indSelect_TBP,10,FALSE)=1,FALSE)</f>
        <v>0</v>
      </c>
      <c r="K25" s="321" t="b">
        <f>IF(AND(required_cot&gt;=2,TBPI[[#This Row],[Selected]]),VLOOKUP(TBPI[[#This Row],[Strand]],indSelect_TBP,11,FALSE)=1,FALSE)</f>
        <v>0</v>
      </c>
      <c r="L25" s="321" t="b">
        <f>IF(AND(required_cot&gt;=3,TBPI[[#This Row],[Selected]]),VLOOKUP(TBPI[[#This Row],[Strand]],indSelect_TBP,12,FALSE)=1,FALSE)</f>
        <v>0</v>
      </c>
      <c r="M25" s="321" t="b">
        <f>IF(AND(required_cot&gt;=4,TBPI[[#This Row],[Selected]]),VLOOKUP(TBPI[[#This Row],[Strand]],indSelect_TBP,13,FALSE)=1,FALSE)</f>
        <v>0</v>
      </c>
    </row>
    <row r="26" spans="1:13" ht="30" x14ac:dyDescent="0.25">
      <c r="A26" s="22">
        <v>5.2</v>
      </c>
      <c r="B26" s="18" t="s">
        <v>1321</v>
      </c>
      <c r="C26" s="13">
        <v>5</v>
      </c>
      <c r="D26" s="331" t="str">
        <f>IFERROR(IF(AND(COUNTIF(TBPS[helper],TBPI[[#This Row],[Strand]]&amp;"-Q-COI")&gt;0,COUNTIF(TBPS[helper],TBPI[[#This Row],[Strand]]&amp;"-Q-NCOI")&gt;0),"COI/NCOI",IF(COUNTIF(TBPS[helper],TBPI[[#This Row],[Strand]]&amp;"-Q-COI")&gt;0,"COI",IF(COUNTIF(TBPS[helper],TBPI[[#This Row],[Strand]]&amp;"-Q-NCOI")&gt;0,"NCOI",""))),"")</f>
        <v>NCOI</v>
      </c>
      <c r="E26" s="36">
        <v>1</v>
      </c>
      <c r="F26" s="320" t="b">
        <f>VLOOKUP(TBPI[[#This Row],[Strand]],indSelect_TBP,7,FALSE)</f>
        <v>0</v>
      </c>
      <c r="G26" s="320" t="str">
        <f>IF(AND(career_stage="P",teacher_type="TB",TBPI[[#This Row],[CO]]="COI/NCOI",TBPI[[#This Row],[Selected]]),VLOOKUP(TBPI[[#This Row],[Strand]],coi_ncoi_select,COLUMNS(coi_ncoi_select),FALSE),TBPI[[#This Row],[CO]])</f>
        <v>NCOI</v>
      </c>
      <c r="H26" s="323">
        <f>VLOOKUP(TBPI[[#This Row],[Strand]],indSelect_TBP,6,FALSE)</f>
        <v>0</v>
      </c>
      <c r="I26" s="320" t="str">
        <f>IFERROR(IF(AND(TBPI[[#This Row],[Selected]],TBPI[[#This Row],[CO]]="COI/NCOI"),VLOOKUP(TBPI[[#This Row],[Strand]],indSelect_TBP,9,FALSE),TBPI[[#This Row],[CO]]),TBPI[[#This Row],[CO]])</f>
        <v>NCOI</v>
      </c>
      <c r="J26" s="321" t="b">
        <f>IF(AND(required_cot&gt;=1,TBPI[[#This Row],[Selected]]),VLOOKUP(TBPI[[#This Row],[Strand]],indSelect_TBP,10,FALSE)=1,FALSE)</f>
        <v>0</v>
      </c>
      <c r="K26" s="321" t="b">
        <f>IF(AND(required_cot&gt;=2,TBPI[[#This Row],[Selected]]),VLOOKUP(TBPI[[#This Row],[Strand]],indSelect_TBP,11,FALSE)=1,FALSE)</f>
        <v>0</v>
      </c>
      <c r="L26" s="321" t="b">
        <f>IF(AND(required_cot&gt;=3,TBPI[[#This Row],[Selected]]),VLOOKUP(TBPI[[#This Row],[Strand]],indSelect_TBP,12,FALSE)=1,FALSE)</f>
        <v>0</v>
      </c>
      <c r="M26" s="321" t="b">
        <f>IF(AND(required_cot&gt;=4,TBPI[[#This Row],[Selected]]),VLOOKUP(TBPI[[#This Row],[Strand]],indSelect_TBP,13,FALSE)=1,FALSE)</f>
        <v>0</v>
      </c>
    </row>
    <row r="27" spans="1:13" ht="45" x14ac:dyDescent="0.25">
      <c r="A27" s="22">
        <v>5.3</v>
      </c>
      <c r="B27" s="18" t="s">
        <v>1323</v>
      </c>
      <c r="C27" s="13">
        <v>5</v>
      </c>
      <c r="D27" s="320" t="str">
        <f>IFERROR(IF(AND(COUNTIF(TBPS[helper],TBPI[[#This Row],[Strand]]&amp;"-Q-COI")&gt;0,COUNTIF(TBPS[helper],TBPI[[#This Row],[Strand]]&amp;"-Q-NCOI")&gt;0),"COI/NCOI",IF(COUNTIF(TBPS[helper],TBPI[[#This Row],[Strand]]&amp;"-Q-COI")&gt;0,"COI",IF(COUNTIF(TBPS[helper],TBPI[[#This Row],[Strand]]&amp;"-Q-NCOI")&gt;0,"NCOI",""))),"")</f>
        <v>NCOI</v>
      </c>
      <c r="E27" s="13">
        <v>2</v>
      </c>
      <c r="F27" s="320" t="b">
        <f>VLOOKUP(TBPI[[#This Row],[Strand]],indSelect_TBP,7,FALSE)</f>
        <v>0</v>
      </c>
      <c r="G27" s="320" t="str">
        <f>IF(AND(career_stage="P",teacher_type="TB",TBPI[[#This Row],[CO]]="COI/NCOI",TBPI[[#This Row],[Selected]]),VLOOKUP(TBPI[[#This Row],[Strand]],coi_ncoi_select,COLUMNS(coi_ncoi_select),FALSE),TBPI[[#This Row],[CO]])</f>
        <v>NCOI</v>
      </c>
      <c r="H27" s="323">
        <f>VLOOKUP(TBPI[[#This Row],[Strand]],indSelect_TBP,6,FALSE)</f>
        <v>0</v>
      </c>
      <c r="I27" s="320" t="str">
        <f>IFERROR(IF(AND(TBPI[[#This Row],[Selected]],TBPI[[#This Row],[CO]]="COI/NCOI"),VLOOKUP(TBPI[[#This Row],[Strand]],indSelect_TBP,9,FALSE),TBPI[[#This Row],[CO]]),TBPI[[#This Row],[CO]])</f>
        <v>NCOI</v>
      </c>
      <c r="J27" s="321" t="b">
        <f>IF(AND(required_cot&gt;=1,TBPI[[#This Row],[Selected]]),VLOOKUP(TBPI[[#This Row],[Strand]],indSelect_TBP,10,FALSE)=1,FALSE)</f>
        <v>0</v>
      </c>
      <c r="K27" s="321" t="b">
        <f>IF(AND(required_cot&gt;=2,TBPI[[#This Row],[Selected]]),VLOOKUP(TBPI[[#This Row],[Strand]],indSelect_TBP,11,FALSE)=1,FALSE)</f>
        <v>0</v>
      </c>
      <c r="L27" s="321" t="b">
        <f>IF(AND(required_cot&gt;=3,TBPI[[#This Row],[Selected]]),VLOOKUP(TBPI[[#This Row],[Strand]],indSelect_TBP,12,FALSE)=1,FALSE)</f>
        <v>0</v>
      </c>
      <c r="M27" s="321" t="b">
        <f>IF(AND(required_cot&gt;=4,TBPI[[#This Row],[Selected]]),VLOOKUP(TBPI[[#This Row],[Strand]],indSelect_TBP,13,FALSE)=1,FALSE)</f>
        <v>0</v>
      </c>
    </row>
    <row r="28" spans="1:13" ht="45" x14ac:dyDescent="0.25">
      <c r="A28" s="41">
        <v>5.4</v>
      </c>
      <c r="B28" s="37" t="s">
        <v>1325</v>
      </c>
      <c r="C28" s="14">
        <v>5</v>
      </c>
      <c r="D28" s="331" t="str">
        <f>IFERROR(IF(AND(COUNTIF(TBPS[helper],TBPI[[#This Row],[Strand]]&amp;"-Q-COI")&gt;0,COUNTIF(TBPS[helper],TBPI[[#This Row],[Strand]]&amp;"-Q-NCOI")&gt;0),"COI/NCOI",IF(COUNTIF(TBPS[helper],TBPI[[#This Row],[Strand]]&amp;"-Q-COI")&gt;0,"COI",IF(COUNTIF(TBPS[helper],TBPI[[#This Row],[Strand]]&amp;"-Q-NCOI")&gt;0,"NCOI",""))),"")</f>
        <v>NCOI</v>
      </c>
      <c r="E28" s="36">
        <v>1</v>
      </c>
      <c r="F28" s="320" t="b">
        <f>VLOOKUP(TBPI[[#This Row],[Strand]],indSelect_TBP,7,FALSE)</f>
        <v>0</v>
      </c>
      <c r="G28" s="320" t="str">
        <f>IF(AND(career_stage="P",teacher_type="TB",TBPI[[#This Row],[CO]]="COI/NCOI",TBPI[[#This Row],[Selected]]),VLOOKUP(TBPI[[#This Row],[Strand]],coi_ncoi_select,COLUMNS(coi_ncoi_select),FALSE),TBPI[[#This Row],[CO]])</f>
        <v>NCOI</v>
      </c>
      <c r="H28" s="323">
        <f>VLOOKUP(TBPI[[#This Row],[Strand]],indSelect_TBP,6,FALSE)</f>
        <v>0</v>
      </c>
      <c r="I28" s="320" t="str">
        <f>IFERROR(IF(AND(TBPI[[#This Row],[Selected]],TBPI[[#This Row],[CO]]="COI/NCOI"),VLOOKUP(TBPI[[#This Row],[Strand]],indSelect_TBP,9,FALSE),TBPI[[#This Row],[CO]]),TBPI[[#This Row],[CO]])</f>
        <v>NCOI</v>
      </c>
      <c r="J28" s="321" t="b">
        <f>IF(AND(required_cot&gt;=1,TBPI[[#This Row],[Selected]]),VLOOKUP(TBPI[[#This Row],[Strand]],indSelect_TBP,10,FALSE)=1,FALSE)</f>
        <v>0</v>
      </c>
      <c r="K28" s="321" t="b">
        <f>IF(AND(required_cot&gt;=2,TBPI[[#This Row],[Selected]]),VLOOKUP(TBPI[[#This Row],[Strand]],indSelect_TBP,11,FALSE)=1,FALSE)</f>
        <v>0</v>
      </c>
      <c r="L28" s="321" t="b">
        <f>IF(AND(required_cot&gt;=3,TBPI[[#This Row],[Selected]]),VLOOKUP(TBPI[[#This Row],[Strand]],indSelect_TBP,12,FALSE)=1,FALSE)</f>
        <v>0</v>
      </c>
      <c r="M28" s="321" t="b">
        <f>IF(AND(required_cot&gt;=4,TBPI[[#This Row],[Selected]]),VLOOKUP(TBPI[[#This Row],[Strand]],indSelect_TBP,13,FALSE)=1,FALSE)</f>
        <v>0</v>
      </c>
    </row>
    <row r="29" spans="1:13" ht="45" x14ac:dyDescent="0.25">
      <c r="A29" s="22">
        <v>5.5</v>
      </c>
      <c r="B29" s="19" t="s">
        <v>1327</v>
      </c>
      <c r="C29" s="13">
        <v>5</v>
      </c>
      <c r="D29" s="320" t="str">
        <f>IFERROR(IF(AND(COUNTIF(TBPS[helper],TBPI[[#This Row],[Strand]]&amp;"-Q-COI")&gt;0,COUNTIF(TBPS[helper],TBPI[[#This Row],[Strand]]&amp;"-Q-NCOI")&gt;0),"COI/NCOI",IF(COUNTIF(TBPS[helper],TBPI[[#This Row],[Strand]]&amp;"-Q-COI")&gt;0,"COI",IF(COUNTIF(TBPS[helper],TBPI[[#This Row],[Strand]]&amp;"-Q-NCOI")&gt;0,"NCOI",""))),"")</f>
        <v>NCOI</v>
      </c>
      <c r="E29" s="13">
        <v>3</v>
      </c>
      <c r="F29" s="320" t="b">
        <f>VLOOKUP(TBPI[[#This Row],[Strand]],indSelect_TBP,7,FALSE)</f>
        <v>0</v>
      </c>
      <c r="G29" s="320" t="str">
        <f>IF(AND(career_stage="P",teacher_type="TB",TBPI[[#This Row],[CO]]="COI/NCOI",TBPI[[#This Row],[Selected]]),VLOOKUP(TBPI[[#This Row],[Strand]],coi_ncoi_select,COLUMNS(coi_ncoi_select),FALSE),TBPI[[#This Row],[CO]])</f>
        <v>NCOI</v>
      </c>
      <c r="H29" s="323">
        <f>VLOOKUP(TBPI[[#This Row],[Strand]],indSelect_TBP,6,FALSE)</f>
        <v>0</v>
      </c>
      <c r="I29" s="320" t="str">
        <f>IFERROR(IF(AND(TBPI[[#This Row],[Selected]],TBPI[[#This Row],[CO]]="COI/NCOI"),VLOOKUP(TBPI[[#This Row],[Strand]],indSelect_TBP,9,FALSE),TBPI[[#This Row],[CO]]),TBPI[[#This Row],[CO]])</f>
        <v>NCOI</v>
      </c>
      <c r="J29" s="321" t="b">
        <f>IF(AND(required_cot&gt;=1,TBPI[[#This Row],[Selected]]),VLOOKUP(TBPI[[#This Row],[Strand]],indSelect_TBP,10,FALSE)=1,FALSE)</f>
        <v>0</v>
      </c>
      <c r="K29" s="321" t="b">
        <f>IF(AND(required_cot&gt;=2,TBPI[[#This Row],[Selected]]),VLOOKUP(TBPI[[#This Row],[Strand]],indSelect_TBP,11,FALSE)=1,FALSE)</f>
        <v>0</v>
      </c>
      <c r="L29" s="321" t="b">
        <f>IF(AND(required_cot&gt;=3,TBPI[[#This Row],[Selected]]),VLOOKUP(TBPI[[#This Row],[Strand]],indSelect_TBP,12,FALSE)=1,FALSE)</f>
        <v>0</v>
      </c>
      <c r="M29" s="321" t="b">
        <f>IF(AND(required_cot&gt;=4,TBPI[[#This Row],[Selected]]),VLOOKUP(TBPI[[#This Row],[Strand]],indSelect_TBP,13,FALSE)=1,FALSE)</f>
        <v>0</v>
      </c>
    </row>
    <row r="30" spans="1:13" ht="30" x14ac:dyDescent="0.25">
      <c r="A30" s="22">
        <v>6.1</v>
      </c>
      <c r="B30" s="19" t="s">
        <v>1329</v>
      </c>
      <c r="C30" s="13">
        <v>6</v>
      </c>
      <c r="D30" s="320" t="str">
        <f>IFERROR(IF(AND(COUNTIF(TBPS[helper],TBPI[[#This Row],[Strand]]&amp;"-Q-COI")&gt;0,COUNTIF(TBPS[helper],TBPI[[#This Row],[Strand]]&amp;"-Q-NCOI")&gt;0),"COI/NCOI",IF(COUNTIF(TBPS[helper],TBPI[[#This Row],[Strand]]&amp;"-Q-COI")&gt;0,"COI",IF(COUNTIF(TBPS[helper],TBPI[[#This Row],[Strand]]&amp;"-Q-NCOI")&gt;0,"NCOI",""))),"")</f>
        <v>NCOI</v>
      </c>
      <c r="E30" s="13">
        <v>3</v>
      </c>
      <c r="F30" s="320" t="b">
        <f>VLOOKUP(TBPI[[#This Row],[Strand]],indSelect_TBP,7,FALSE)</f>
        <v>0</v>
      </c>
      <c r="G30" s="320" t="str">
        <f>IF(AND(career_stage="P",teacher_type="TB",TBPI[[#This Row],[CO]]="COI/NCOI",TBPI[[#This Row],[Selected]]),VLOOKUP(TBPI[[#This Row],[Strand]],coi_ncoi_select,COLUMNS(coi_ncoi_select),FALSE),TBPI[[#This Row],[CO]])</f>
        <v>NCOI</v>
      </c>
      <c r="H30" s="323">
        <f>VLOOKUP(TBPI[[#This Row],[Strand]],indSelect_TBP,6,FALSE)</f>
        <v>0</v>
      </c>
      <c r="I30" s="320" t="str">
        <f>IFERROR(IF(AND(TBPI[[#This Row],[Selected]],TBPI[[#This Row],[CO]]="COI/NCOI"),VLOOKUP(TBPI[[#This Row],[Strand]],indSelect_TBP,9,FALSE),TBPI[[#This Row],[CO]]),TBPI[[#This Row],[CO]])</f>
        <v>NCOI</v>
      </c>
      <c r="J30" s="321" t="b">
        <f>IF(AND(required_cot&gt;=1,TBPI[[#This Row],[Selected]]),VLOOKUP(TBPI[[#This Row],[Strand]],indSelect_TBP,10,FALSE)=1,FALSE)</f>
        <v>0</v>
      </c>
      <c r="K30" s="321" t="b">
        <f>IF(AND(required_cot&gt;=2,TBPI[[#This Row],[Selected]]),VLOOKUP(TBPI[[#This Row],[Strand]],indSelect_TBP,11,FALSE)=1,FALSE)</f>
        <v>0</v>
      </c>
      <c r="L30" s="321" t="b">
        <f>IF(AND(required_cot&gt;=3,TBPI[[#This Row],[Selected]]),VLOOKUP(TBPI[[#This Row],[Strand]],indSelect_TBP,12,FALSE)=1,FALSE)</f>
        <v>0</v>
      </c>
      <c r="M30" s="321" t="b">
        <f>IF(AND(required_cot&gt;=4,TBPI[[#This Row],[Selected]]),VLOOKUP(TBPI[[#This Row],[Strand]],indSelect_TBP,13,FALSE)=1,FALSE)</f>
        <v>0</v>
      </c>
    </row>
    <row r="31" spans="1:13" ht="45" x14ac:dyDescent="0.25">
      <c r="A31" s="22">
        <v>6.2</v>
      </c>
      <c r="B31" s="18" t="s">
        <v>1331</v>
      </c>
      <c r="C31" s="13">
        <v>6</v>
      </c>
      <c r="D31" s="320" t="str">
        <f>IFERROR(IF(AND(COUNTIF(TBPS[helper],TBPI[[#This Row],[Strand]]&amp;"-Q-COI")&gt;0,COUNTIF(TBPS[helper],TBPI[[#This Row],[Strand]]&amp;"-Q-NCOI")&gt;0),"COI/NCOI",IF(COUNTIF(TBPS[helper],TBPI[[#This Row],[Strand]]&amp;"-Q-COI")&gt;0,"COI",IF(COUNTIF(TBPS[helper],TBPI[[#This Row],[Strand]]&amp;"-Q-NCOI")&gt;0,"NCOI",""))),"")</f>
        <v>NCOI</v>
      </c>
      <c r="E31" s="13">
        <v>2</v>
      </c>
      <c r="F31" s="320" t="b">
        <f>VLOOKUP(TBPI[[#This Row],[Strand]],indSelect_TBP,7,FALSE)</f>
        <v>0</v>
      </c>
      <c r="G31" s="320" t="str">
        <f>IF(AND(career_stage="P",teacher_type="TB",TBPI[[#This Row],[CO]]="COI/NCOI",TBPI[[#This Row],[Selected]]),VLOOKUP(TBPI[[#This Row],[Strand]],coi_ncoi_select,COLUMNS(coi_ncoi_select),FALSE),TBPI[[#This Row],[CO]])</f>
        <v>NCOI</v>
      </c>
      <c r="H31" s="323">
        <f>VLOOKUP(TBPI[[#This Row],[Strand]],indSelect_TBP,6,FALSE)</f>
        <v>0</v>
      </c>
      <c r="I31" s="320" t="str">
        <f>IFERROR(IF(AND(TBPI[[#This Row],[Selected]],TBPI[[#This Row],[CO]]="COI/NCOI"),VLOOKUP(TBPI[[#This Row],[Strand]],indSelect_TBP,9,FALSE),TBPI[[#This Row],[CO]]),TBPI[[#This Row],[CO]])</f>
        <v>NCOI</v>
      </c>
      <c r="J31" s="321" t="b">
        <f>IF(AND(required_cot&gt;=1,TBPI[[#This Row],[Selected]]),VLOOKUP(TBPI[[#This Row],[Strand]],indSelect_TBP,10,FALSE)=1,FALSE)</f>
        <v>0</v>
      </c>
      <c r="K31" s="321" t="b">
        <f>IF(AND(required_cot&gt;=2,TBPI[[#This Row],[Selected]]),VLOOKUP(TBPI[[#This Row],[Strand]],indSelect_TBP,11,FALSE)=1,FALSE)</f>
        <v>0</v>
      </c>
      <c r="L31" s="321" t="b">
        <f>IF(AND(required_cot&gt;=3,TBPI[[#This Row],[Selected]]),VLOOKUP(TBPI[[#This Row],[Strand]],indSelect_TBP,12,FALSE)=1,FALSE)</f>
        <v>0</v>
      </c>
      <c r="M31" s="321" t="b">
        <f>IF(AND(required_cot&gt;=4,TBPI[[#This Row],[Selected]]),VLOOKUP(TBPI[[#This Row],[Strand]],indSelect_TBP,13,FALSE)=1,FALSE)</f>
        <v>0</v>
      </c>
    </row>
    <row r="32" spans="1:13" ht="73.7" customHeight="1" x14ac:dyDescent="0.25">
      <c r="A32" s="22">
        <v>6.3</v>
      </c>
      <c r="B32" s="19" t="s">
        <v>1333</v>
      </c>
      <c r="C32" s="13">
        <v>6</v>
      </c>
      <c r="D32" s="320" t="str">
        <f>IFERROR(IF(AND(COUNTIF(TBPS[helper],TBPI[[#This Row],[Strand]]&amp;"-Q-COI")&gt;0,COUNTIF(TBPS[helper],TBPI[[#This Row],[Strand]]&amp;"-Q-NCOI")&gt;0),"COI/NCOI",IF(COUNTIF(TBPS[helper],TBPI[[#This Row],[Strand]]&amp;"-Q-COI")&gt;0,"COI",IF(COUNTIF(TBPS[helper],TBPI[[#This Row],[Strand]]&amp;"-Q-NCOI")&gt;0,"NCOI",""))),"")</f>
        <v>NCOI</v>
      </c>
      <c r="E32" s="13">
        <v>3</v>
      </c>
      <c r="F32" s="320" t="b">
        <f>VLOOKUP(TBPI[[#This Row],[Strand]],indSelect_TBP,7,FALSE)</f>
        <v>0</v>
      </c>
      <c r="G32" s="320" t="str">
        <f>IF(AND(career_stage="P",teacher_type="TB",TBPI[[#This Row],[CO]]="COI/NCOI",TBPI[[#This Row],[Selected]]),VLOOKUP(TBPI[[#This Row],[Strand]],coi_ncoi_select,COLUMNS(coi_ncoi_select),FALSE),TBPI[[#This Row],[CO]])</f>
        <v>NCOI</v>
      </c>
      <c r="H32" s="323">
        <f>VLOOKUP(TBPI[[#This Row],[Strand]],indSelect_TBP,6,FALSE)</f>
        <v>0</v>
      </c>
      <c r="I32" s="320" t="str">
        <f>IFERROR(IF(AND(TBPI[[#This Row],[Selected]],TBPI[[#This Row],[CO]]="COI/NCOI"),VLOOKUP(TBPI[[#This Row],[Strand]],indSelect_TBP,9,FALSE),TBPI[[#This Row],[CO]]),TBPI[[#This Row],[CO]])</f>
        <v>NCOI</v>
      </c>
      <c r="J32" s="321" t="b">
        <f>IF(AND(required_cot&gt;=1,TBPI[[#This Row],[Selected]]),VLOOKUP(TBPI[[#This Row],[Strand]],indSelect_TBP,10,FALSE)=1,FALSE)</f>
        <v>0</v>
      </c>
      <c r="K32" s="321" t="b">
        <f>IF(AND(required_cot&gt;=2,TBPI[[#This Row],[Selected]]),VLOOKUP(TBPI[[#This Row],[Strand]],indSelect_TBP,11,FALSE)=1,FALSE)</f>
        <v>0</v>
      </c>
      <c r="L32" s="321" t="b">
        <f>IF(AND(required_cot&gt;=3,TBPI[[#This Row],[Selected]]),VLOOKUP(TBPI[[#This Row],[Strand]],indSelect_TBP,12,FALSE)=1,FALSE)</f>
        <v>0</v>
      </c>
      <c r="M32" s="321" t="b">
        <f>IF(AND(required_cot&gt;=4,TBPI[[#This Row],[Selected]]),VLOOKUP(TBPI[[#This Row],[Strand]],indSelect_TBP,13,FALSE)=1,FALSE)</f>
        <v>0</v>
      </c>
    </row>
    <row r="33" spans="1:13" ht="60" x14ac:dyDescent="0.25">
      <c r="A33" s="22">
        <v>6.4</v>
      </c>
      <c r="B33" s="19" t="s">
        <v>1335</v>
      </c>
      <c r="C33" s="13">
        <v>6</v>
      </c>
      <c r="D33" s="320" t="str">
        <f>IFERROR(IF(AND(COUNTIF(TBPS[helper],TBPI[[#This Row],[Strand]]&amp;"-Q-COI")&gt;0,COUNTIF(TBPS[helper],TBPI[[#This Row],[Strand]]&amp;"-Q-NCOI")&gt;0),"COI/NCOI",IF(COUNTIF(TBPS[helper],TBPI[[#This Row],[Strand]]&amp;"-Q-COI")&gt;0,"COI",IF(COUNTIF(TBPS[helper],TBPI[[#This Row],[Strand]]&amp;"-Q-NCOI")&gt;0,"NCOI",""))),"")</f>
        <v>NCOI</v>
      </c>
      <c r="E33" s="13">
        <v>3</v>
      </c>
      <c r="F33" s="320" t="b">
        <f>VLOOKUP(TBPI[[#This Row],[Strand]],indSelect_TBP,7,FALSE)</f>
        <v>0</v>
      </c>
      <c r="G33" s="320" t="str">
        <f>IF(AND(career_stage="P",teacher_type="TB",TBPI[[#This Row],[CO]]="COI/NCOI",TBPI[[#This Row],[Selected]]),VLOOKUP(TBPI[[#This Row],[Strand]],coi_ncoi_select,COLUMNS(coi_ncoi_select),FALSE),TBPI[[#This Row],[CO]])</f>
        <v>NCOI</v>
      </c>
      <c r="H33" s="323">
        <f>VLOOKUP(TBPI[[#This Row],[Strand]],indSelect_TBP,6,FALSE)</f>
        <v>0</v>
      </c>
      <c r="I33" s="320" t="str">
        <f>IFERROR(IF(AND(TBPI[[#This Row],[Selected]],TBPI[[#This Row],[CO]]="COI/NCOI"),VLOOKUP(TBPI[[#This Row],[Strand]],indSelect_TBP,9,FALSE),TBPI[[#This Row],[CO]]),TBPI[[#This Row],[CO]])</f>
        <v>NCOI</v>
      </c>
      <c r="J33" s="321" t="b">
        <f>IF(AND(required_cot&gt;=1,TBPI[[#This Row],[Selected]]),VLOOKUP(TBPI[[#This Row],[Strand]],indSelect_TBP,10,FALSE)=1,FALSE)</f>
        <v>0</v>
      </c>
      <c r="K33" s="321" t="b">
        <f>IF(AND(required_cot&gt;=2,TBPI[[#This Row],[Selected]]),VLOOKUP(TBPI[[#This Row],[Strand]],indSelect_TBP,11,FALSE)=1,FALSE)</f>
        <v>0</v>
      </c>
      <c r="L33" s="321" t="b">
        <f>IF(AND(required_cot&gt;=3,TBPI[[#This Row],[Selected]]),VLOOKUP(TBPI[[#This Row],[Strand]],indSelect_TBP,12,FALSE)=1,FALSE)</f>
        <v>0</v>
      </c>
      <c r="M33" s="321" t="b">
        <f>IF(AND(required_cot&gt;=4,TBPI[[#This Row],[Selected]]),VLOOKUP(TBPI[[#This Row],[Strand]],indSelect_TBP,13,FALSE)=1,FALSE)</f>
        <v>0</v>
      </c>
    </row>
    <row r="34" spans="1:13" ht="30" x14ac:dyDescent="0.25">
      <c r="A34" s="22">
        <v>7.1</v>
      </c>
      <c r="B34" s="19" t="s">
        <v>1337</v>
      </c>
      <c r="C34" s="13">
        <v>7</v>
      </c>
      <c r="D34" s="320" t="str">
        <f>IFERROR(IF(AND(COUNTIF(TBPS[helper],TBPI[[#This Row],[Strand]]&amp;"-Q-COI")&gt;0,COUNTIF(TBPS[helper],TBPI[[#This Row],[Strand]]&amp;"-Q-NCOI")&gt;0),"COI/NCOI",IF(COUNTIF(TBPS[helper],TBPI[[#This Row],[Strand]]&amp;"-Q-COI")&gt;0,"COI",IF(COUNTIF(TBPS[helper],TBPI[[#This Row],[Strand]]&amp;"-Q-NCOI")&gt;0,"NCOI",""))),"")</f>
        <v>NCOI</v>
      </c>
      <c r="E34" s="13">
        <v>3</v>
      </c>
      <c r="F34" s="320" t="b">
        <f>VLOOKUP(TBPI[[#This Row],[Strand]],indSelect_TBP,7,FALSE)</f>
        <v>0</v>
      </c>
      <c r="G34" s="320" t="str">
        <f>IF(AND(career_stage="P",teacher_type="TB",TBPI[[#This Row],[CO]]="COI/NCOI",TBPI[[#This Row],[Selected]]),VLOOKUP(TBPI[[#This Row],[Strand]],coi_ncoi_select,COLUMNS(coi_ncoi_select),FALSE),TBPI[[#This Row],[CO]])</f>
        <v>NCOI</v>
      </c>
      <c r="H34" s="323">
        <f>VLOOKUP(TBPI[[#This Row],[Strand]],indSelect_TBP,6,FALSE)</f>
        <v>0</v>
      </c>
      <c r="I34" s="320" t="str">
        <f>IFERROR(IF(AND(TBPI[[#This Row],[Selected]],TBPI[[#This Row],[CO]]="COI/NCOI"),VLOOKUP(TBPI[[#This Row],[Strand]],indSelect_TBP,9,FALSE),TBPI[[#This Row],[CO]]),TBPI[[#This Row],[CO]])</f>
        <v>NCOI</v>
      </c>
      <c r="J34" s="321" t="b">
        <f>IF(AND(required_cot&gt;=1,TBPI[[#This Row],[Selected]]),VLOOKUP(TBPI[[#This Row],[Strand]],indSelect_TBP,10,FALSE)=1,FALSE)</f>
        <v>0</v>
      </c>
      <c r="K34" s="321" t="b">
        <f>IF(AND(required_cot&gt;=2,TBPI[[#This Row],[Selected]]),VLOOKUP(TBPI[[#This Row],[Strand]],indSelect_TBP,11,FALSE)=1,FALSE)</f>
        <v>0</v>
      </c>
      <c r="L34" s="321" t="b">
        <f>IF(AND(required_cot&gt;=3,TBPI[[#This Row],[Selected]]),VLOOKUP(TBPI[[#This Row],[Strand]],indSelect_TBP,12,FALSE)=1,FALSE)</f>
        <v>0</v>
      </c>
      <c r="M34" s="321" t="b">
        <f>IF(AND(required_cot&gt;=4,TBPI[[#This Row],[Selected]]),VLOOKUP(TBPI[[#This Row],[Strand]],indSelect_TBP,13,FALSE)=1,FALSE)</f>
        <v>0</v>
      </c>
    </row>
    <row r="35" spans="1:13" ht="45" x14ac:dyDescent="0.25">
      <c r="A35" s="22">
        <v>7.2</v>
      </c>
      <c r="B35" s="19" t="s">
        <v>1339</v>
      </c>
      <c r="C35" s="13">
        <v>7</v>
      </c>
      <c r="D35" s="320" t="str">
        <f>IFERROR(IF(AND(COUNTIF(TBPS[helper],TBPI[[#This Row],[Strand]]&amp;"-Q-COI")&gt;0,COUNTIF(TBPS[helper],TBPI[[#This Row],[Strand]]&amp;"-Q-NCOI")&gt;0),"COI/NCOI",IF(COUNTIF(TBPS[helper],TBPI[[#This Row],[Strand]]&amp;"-Q-COI")&gt;0,"COI",IF(COUNTIF(TBPS[helper],TBPI[[#This Row],[Strand]]&amp;"-Q-NCOI")&gt;0,"NCOI",""))),"")</f>
        <v>NCOI</v>
      </c>
      <c r="E35" s="13">
        <v>3</v>
      </c>
      <c r="F35" s="320" t="b">
        <f>VLOOKUP(TBPI[[#This Row],[Strand]],indSelect_TBP,7,FALSE)</f>
        <v>0</v>
      </c>
      <c r="G35" s="320" t="str">
        <f>IF(AND(career_stage="P",teacher_type="TB",TBPI[[#This Row],[CO]]="COI/NCOI",TBPI[[#This Row],[Selected]]),VLOOKUP(TBPI[[#This Row],[Strand]],coi_ncoi_select,COLUMNS(coi_ncoi_select),FALSE),TBPI[[#This Row],[CO]])</f>
        <v>NCOI</v>
      </c>
      <c r="H35" s="323">
        <f>VLOOKUP(TBPI[[#This Row],[Strand]],indSelect_TBP,6,FALSE)</f>
        <v>0</v>
      </c>
      <c r="I35" s="320" t="str">
        <f>IFERROR(IF(AND(TBPI[[#This Row],[Selected]],TBPI[[#This Row],[CO]]="COI/NCOI"),VLOOKUP(TBPI[[#This Row],[Strand]],indSelect_TBP,9,FALSE),TBPI[[#This Row],[CO]]),TBPI[[#This Row],[CO]])</f>
        <v>NCOI</v>
      </c>
      <c r="J35" s="321" t="b">
        <f>IF(AND(required_cot&gt;=1,TBPI[[#This Row],[Selected]]),VLOOKUP(TBPI[[#This Row],[Strand]],indSelect_TBP,10,FALSE)=1,FALSE)</f>
        <v>0</v>
      </c>
      <c r="K35" s="321" t="b">
        <f>IF(AND(required_cot&gt;=2,TBPI[[#This Row],[Selected]]),VLOOKUP(TBPI[[#This Row],[Strand]],indSelect_TBP,11,FALSE)=1,FALSE)</f>
        <v>0</v>
      </c>
      <c r="L35" s="321" t="b">
        <f>IF(AND(required_cot&gt;=3,TBPI[[#This Row],[Selected]]),VLOOKUP(TBPI[[#This Row],[Strand]],indSelect_TBP,12,FALSE)=1,FALSE)</f>
        <v>0</v>
      </c>
      <c r="M35" s="321" t="b">
        <f>IF(AND(required_cot&gt;=4,TBPI[[#This Row],[Selected]]),VLOOKUP(TBPI[[#This Row],[Strand]],indSelect_TBP,13,FALSE)=1,FALSE)</f>
        <v>0</v>
      </c>
    </row>
    <row r="36" spans="1:13" ht="30" x14ac:dyDescent="0.25">
      <c r="A36" s="22">
        <v>7.3</v>
      </c>
      <c r="B36" s="18" t="s">
        <v>1341</v>
      </c>
      <c r="C36" s="13">
        <v>7</v>
      </c>
      <c r="D36" s="320" t="str">
        <f>IFERROR(IF(AND(COUNTIF(TBPS[helper],TBPI[[#This Row],[Strand]]&amp;"-Q-COI")&gt;0,COUNTIF(TBPS[helper],TBPI[[#This Row],[Strand]]&amp;"-Q-NCOI")&gt;0),"COI/NCOI",IF(COUNTIF(TBPS[helper],TBPI[[#This Row],[Strand]]&amp;"-Q-COI")&gt;0,"COI",IF(COUNTIF(TBPS[helper],TBPI[[#This Row],[Strand]]&amp;"-Q-NCOI")&gt;0,"NCOI",""))),"")</f>
        <v>NCOI</v>
      </c>
      <c r="E36" s="13">
        <v>2</v>
      </c>
      <c r="F36" s="320" t="b">
        <f>VLOOKUP(TBPI[[#This Row],[Strand]],indSelect_TBP,7,FALSE)</f>
        <v>0</v>
      </c>
      <c r="G36" s="320" t="str">
        <f>IF(AND(career_stage="P",teacher_type="TB",TBPI[[#This Row],[CO]]="COI/NCOI",TBPI[[#This Row],[Selected]]),VLOOKUP(TBPI[[#This Row],[Strand]],coi_ncoi_select,COLUMNS(coi_ncoi_select),FALSE),TBPI[[#This Row],[CO]])</f>
        <v>NCOI</v>
      </c>
      <c r="H36" s="323">
        <f>VLOOKUP(TBPI[[#This Row],[Strand]],indSelect_TBP,6,FALSE)</f>
        <v>0</v>
      </c>
      <c r="I36" s="320" t="str">
        <f>IFERROR(IF(AND(TBPI[[#This Row],[Selected]],TBPI[[#This Row],[CO]]="COI/NCOI"),VLOOKUP(TBPI[[#This Row],[Strand]],indSelect_TBP,9,FALSE),TBPI[[#This Row],[CO]]),TBPI[[#This Row],[CO]])</f>
        <v>NCOI</v>
      </c>
      <c r="J36" s="321" t="b">
        <f>IF(AND(required_cot&gt;=1,TBPI[[#This Row],[Selected]]),VLOOKUP(TBPI[[#This Row],[Strand]],indSelect_TBP,10,FALSE)=1,FALSE)</f>
        <v>0</v>
      </c>
      <c r="K36" s="321" t="b">
        <f>IF(AND(required_cot&gt;=2,TBPI[[#This Row],[Selected]]),VLOOKUP(TBPI[[#This Row],[Strand]],indSelect_TBP,11,FALSE)=1,FALSE)</f>
        <v>0</v>
      </c>
      <c r="L36" s="321" t="b">
        <f>IF(AND(required_cot&gt;=3,TBPI[[#This Row],[Selected]]),VLOOKUP(TBPI[[#This Row],[Strand]],indSelect_TBP,12,FALSE)=1,FALSE)</f>
        <v>0</v>
      </c>
      <c r="M36" s="321" t="b">
        <f>IF(AND(required_cot&gt;=4,TBPI[[#This Row],[Selected]]),VLOOKUP(TBPI[[#This Row],[Strand]],indSelect_TBP,13,FALSE)=1,FALSE)</f>
        <v>0</v>
      </c>
    </row>
    <row r="37" spans="1:13" ht="45" x14ac:dyDescent="0.25">
      <c r="A37" s="22">
        <v>7.4</v>
      </c>
      <c r="B37" s="18" t="s">
        <v>1343</v>
      </c>
      <c r="C37" s="13">
        <v>7</v>
      </c>
      <c r="D37" s="320" t="str">
        <f>IFERROR(IF(AND(COUNTIF(TBPS[helper],TBPI[[#This Row],[Strand]]&amp;"-Q-COI")&gt;0,COUNTIF(TBPS[helper],TBPI[[#This Row],[Strand]]&amp;"-Q-NCOI")&gt;0),"COI/NCOI",IF(COUNTIF(TBPS[helper],TBPI[[#This Row],[Strand]]&amp;"-Q-COI")&gt;0,"COI",IF(COUNTIF(TBPS[helper],TBPI[[#This Row],[Strand]]&amp;"-Q-NCOI")&gt;0,"NCOI",""))),"")</f>
        <v>NCOI</v>
      </c>
      <c r="E37" s="13">
        <v>2</v>
      </c>
      <c r="F37" s="320" t="b">
        <f>VLOOKUP(TBPI[[#This Row],[Strand]],indSelect_TBP,7,FALSE)</f>
        <v>0</v>
      </c>
      <c r="G37" s="320" t="str">
        <f>IF(AND(career_stage="P",teacher_type="TB",TBPI[[#This Row],[CO]]="COI/NCOI",TBPI[[#This Row],[Selected]]),VLOOKUP(TBPI[[#This Row],[Strand]],coi_ncoi_select,COLUMNS(coi_ncoi_select),FALSE),TBPI[[#This Row],[CO]])</f>
        <v>NCOI</v>
      </c>
      <c r="H37" s="323">
        <f>VLOOKUP(TBPI[[#This Row],[Strand]],indSelect_TBP,6,FALSE)</f>
        <v>0</v>
      </c>
      <c r="I37" s="320" t="str">
        <f>IFERROR(IF(AND(TBPI[[#This Row],[Selected]],TBPI[[#This Row],[CO]]="COI/NCOI"),VLOOKUP(TBPI[[#This Row],[Strand]],indSelect_TBP,9,FALSE),TBPI[[#This Row],[CO]]),TBPI[[#This Row],[CO]])</f>
        <v>NCOI</v>
      </c>
      <c r="J37" s="321" t="b">
        <f>IF(AND(required_cot&gt;=1,TBPI[[#This Row],[Selected]]),VLOOKUP(TBPI[[#This Row],[Strand]],indSelect_TBP,10,FALSE)=1,FALSE)</f>
        <v>0</v>
      </c>
      <c r="K37" s="321" t="b">
        <f>IF(AND(required_cot&gt;=2,TBPI[[#This Row],[Selected]]),VLOOKUP(TBPI[[#This Row],[Strand]],indSelect_TBP,11,FALSE)=1,FALSE)</f>
        <v>0</v>
      </c>
      <c r="L37" s="321" t="b">
        <f>IF(AND(required_cot&gt;=3,TBPI[[#This Row],[Selected]]),VLOOKUP(TBPI[[#This Row],[Strand]],indSelect_TBP,12,FALSE)=1,FALSE)</f>
        <v>0</v>
      </c>
      <c r="M37" s="321" t="b">
        <f>IF(AND(required_cot&gt;=4,TBPI[[#This Row],[Selected]]),VLOOKUP(TBPI[[#This Row],[Strand]],indSelect_TBP,13,FALSE)=1,FALSE)</f>
        <v>0</v>
      </c>
    </row>
    <row r="38" spans="1:13" ht="45" x14ac:dyDescent="0.25">
      <c r="A38" s="22">
        <v>7.5</v>
      </c>
      <c r="B38" s="19" t="s">
        <v>1345</v>
      </c>
      <c r="C38" s="13">
        <v>7</v>
      </c>
      <c r="D38" s="320" t="str">
        <f>IFERROR(IF(AND(COUNTIF(TBPS[helper],TBPI[[#This Row],[Strand]]&amp;"-Q-COI")&gt;0,COUNTIF(TBPS[helper],TBPI[[#This Row],[Strand]]&amp;"-Q-NCOI")&gt;0),"COI/NCOI",IF(COUNTIF(TBPS[helper],TBPI[[#This Row],[Strand]]&amp;"-Q-COI")&gt;0,"COI",IF(COUNTIF(TBPS[helper],TBPI[[#This Row],[Strand]]&amp;"-Q-NCOI")&gt;0,"NCOI",""))),"")</f>
        <v>NCOI</v>
      </c>
      <c r="E38" s="13">
        <v>3</v>
      </c>
      <c r="F38" s="320" t="b">
        <f>VLOOKUP(TBPI[[#This Row],[Strand]],indSelect_TBP,7,FALSE)</f>
        <v>0</v>
      </c>
      <c r="G38" s="320" t="str">
        <f>IF(AND(career_stage="P",teacher_type="TB",TBPI[[#This Row],[CO]]="COI/NCOI",TBPI[[#This Row],[Selected]]),VLOOKUP(TBPI[[#This Row],[Strand]],coi_ncoi_select,COLUMNS(coi_ncoi_select),FALSE),TBPI[[#This Row],[CO]])</f>
        <v>NCOI</v>
      </c>
      <c r="H38" s="323">
        <f>VLOOKUP(TBPI[[#This Row],[Strand]],indSelect_TBP,6,FALSE)</f>
        <v>0</v>
      </c>
      <c r="I38" s="320" t="str">
        <f>IFERROR(IF(AND(TBPI[[#This Row],[Selected]],TBPI[[#This Row],[CO]]="COI/NCOI"),VLOOKUP(TBPI[[#This Row],[Strand]],indSelect_TBP,9,FALSE),TBPI[[#This Row],[CO]]),TBPI[[#This Row],[CO]])</f>
        <v>NCOI</v>
      </c>
      <c r="J38" s="321" t="b">
        <f>IF(AND(required_cot&gt;=1,TBPI[[#This Row],[Selected]]),VLOOKUP(TBPI[[#This Row],[Strand]],indSelect_TBP,10,FALSE)=1,FALSE)</f>
        <v>0</v>
      </c>
      <c r="K38" s="321" t="b">
        <f>IF(AND(required_cot&gt;=2,TBPI[[#This Row],[Selected]]),VLOOKUP(TBPI[[#This Row],[Strand]],indSelect_TBP,11,FALSE)=1,FALSE)</f>
        <v>0</v>
      </c>
      <c r="L38" s="321" t="b">
        <f>IF(AND(required_cot&gt;=3,TBPI[[#This Row],[Selected]]),VLOOKUP(TBPI[[#This Row],[Strand]],indSelect_TBP,12,FALSE)=1,FALSE)</f>
        <v>0</v>
      </c>
      <c r="M38" s="321" t="b">
        <f>IF(AND(required_cot&gt;=4,TBPI[[#This Row],[Selected]]),VLOOKUP(TBPI[[#This Row],[Strand]],indSelect_TBP,13,FALSE)=1,FALSE)</f>
        <v>0</v>
      </c>
    </row>
    <row r="39" spans="1:13" ht="37.700000000000003" customHeight="1" x14ac:dyDescent="0.25">
      <c r="A39" s="24">
        <v>15</v>
      </c>
      <c r="B39" s="35" t="s">
        <v>1346</v>
      </c>
      <c r="C39" s="26">
        <v>8</v>
      </c>
      <c r="D39" s="320" t="str">
        <f>IFERROR(IF(AND(COUNTIF(TBPS[helper],TBPI[[#This Row],[Strand]]&amp;"-Q-COI")&gt;0,COUNTIF(TBPS[helper],TBPI[[#This Row],[Strand]]&amp;"-Q-NCOI")&gt;0),"COI/NCOI",IF(COUNTIF(TBPS[helper],TBPI[[#This Row],[Strand]]&amp;"-Q-COI")&gt;0,"COI",IF(COUNTIF(TBPS[helper],TBPI[[#This Row],[Strand]]&amp;"-Q-NCOI")&gt;0,"NCOI",""))),"")</f>
        <v>NCOI</v>
      </c>
      <c r="E39" s="13">
        <v>2</v>
      </c>
      <c r="F39" s="320" t="b">
        <f>VLOOKUP(TBPI[[#This Row],[Strand]],indSelect_TBP,7,FALSE)</f>
        <v>1</v>
      </c>
      <c r="G39" s="320" t="str">
        <f>IF(AND(career_stage="P",teacher_type="TB",TBPI[[#This Row],[CO]]="COI/NCOI",TBPI[[#This Row],[Selected]]),VLOOKUP(TBPI[[#This Row],[Strand]],coi_ncoi_select,COLUMNS(coi_ncoi_select),FALSE),TBPI[[#This Row],[CO]])</f>
        <v>NCOI</v>
      </c>
      <c r="H39" s="323">
        <f>VLOOKUP(TBPI[[#This Row],[Strand]],indSelect_TBP,6,FALSE)</f>
        <v>0</v>
      </c>
      <c r="I39" s="320" t="str">
        <f>IFERROR(IF(AND(TBPI[[#This Row],[Selected]],TBPI[[#This Row],[CO]]="COI/NCOI"),VLOOKUP(TBPI[[#This Row],[Strand]],indSelect_TBP,9,FALSE),TBPI[[#This Row],[CO]]),TBPI[[#This Row],[CO]])</f>
        <v>NCOI</v>
      </c>
      <c r="J39" s="321" t="b">
        <f>IF(AND(required_cot&gt;=1,TBPI[[#This Row],[Selected]]),VLOOKUP(TBPI[[#This Row],[Strand]],indSelect_TBP,10,FALSE)=1,FALSE)</f>
        <v>0</v>
      </c>
      <c r="K39" s="321" t="b">
        <f>IF(AND(required_cot&gt;=2,TBPI[[#This Row],[Selected]]),VLOOKUP(TBPI[[#This Row],[Strand]],indSelect_TBP,11,FALSE)=1,FALSE)</f>
        <v>0</v>
      </c>
      <c r="L39" s="321" t="b">
        <f>IF(AND(required_cot&gt;=3,TBPI[[#This Row],[Selected]]),VLOOKUP(TBPI[[#This Row],[Strand]],indSelect_TBP,12,FALSE)=1,FALSE)</f>
        <v>0</v>
      </c>
      <c r="M39" s="321" t="b">
        <f>IF(AND(required_cot&gt;=4,TBPI[[#This Row],[Selected]]),VLOOKUP(TBPI[[#This Row],[Strand]],indSelect_TBP,13,FALSE)=1,FALSE)</f>
        <v>0</v>
      </c>
    </row>
    <row r="40" spans="1:13" x14ac:dyDescent="0.25">
      <c r="D40" s="5"/>
    </row>
  </sheetData>
  <sheetProtection algorithmName="SHA-512" hashValue="10aKzDYZ+U/BgZQWmRVmUo9eX1VsOlCFlBBqEBBeT24xyt2DSFnq2es3viO8PtzBfOOPVwHbcmUfLdBdamU5OQ==" saltValue="kYGeWkcGahzl56W9k5mcDQ==" spinCount="100000" sheet="1" objects="1" scenarios="1" selectLockedCells="1" selectUnlockedCells="1"/>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94E0C-808C-41DE-A5AC-7184BE58801E}">
  <sheetPr codeName="TBPS_Sheet"/>
  <dimension ref="A1:J58"/>
  <sheetViews>
    <sheetView zoomScale="140" zoomScaleNormal="140" workbookViewId="0">
      <pane ySplit="1" topLeftCell="A13" activePane="bottomLeft" state="frozen"/>
      <selection activeCell="B6" sqref="B6"/>
      <selection pane="bottomLeft" activeCell="B6" sqref="B6"/>
    </sheetView>
  </sheetViews>
  <sheetFormatPr defaultColWidth="8.85546875" defaultRowHeight="15" x14ac:dyDescent="0.25"/>
  <cols>
    <col min="1" max="1" width="9.140625" style="6" customWidth="1"/>
    <col min="2" max="5" width="10.7109375" style="6" customWidth="1"/>
    <col min="6" max="10" width="31.85546875" style="4" customWidth="1"/>
    <col min="11" max="16384" width="8.85546875" style="4"/>
  </cols>
  <sheetData>
    <row r="1" spans="1:10" s="1" customFormat="1" x14ac:dyDescent="0.25">
      <c r="A1" s="20" t="s">
        <v>882</v>
      </c>
      <c r="B1" s="23" t="s">
        <v>884</v>
      </c>
      <c r="C1" s="23" t="s">
        <v>885</v>
      </c>
      <c r="D1" s="23" t="s">
        <v>1176</v>
      </c>
      <c r="E1" s="23" t="s">
        <v>1181</v>
      </c>
      <c r="F1" s="23" t="s">
        <v>773</v>
      </c>
      <c r="G1" s="23" t="s">
        <v>764</v>
      </c>
      <c r="H1" s="23" t="s">
        <v>751</v>
      </c>
      <c r="I1" s="23" t="s">
        <v>732</v>
      </c>
      <c r="J1" s="21" t="s">
        <v>714</v>
      </c>
    </row>
    <row r="2" spans="1:10" ht="48" x14ac:dyDescent="0.25">
      <c r="A2" s="22">
        <v>1.1000000000000001</v>
      </c>
      <c r="B2" s="13" t="s">
        <v>731</v>
      </c>
      <c r="C2" s="13">
        <v>3</v>
      </c>
      <c r="D2" s="13" t="s">
        <v>1012</v>
      </c>
      <c r="E2" s="320" t="str">
        <f>TBPS[[#This Row],[Strand]]&amp;"-"&amp;TBPS[[#This Row],[QET]]&amp; "-" &amp;TBPS[[#This Row],[CO]]</f>
        <v>1.1-Q-COI</v>
      </c>
      <c r="F2" s="15" t="s">
        <v>1368</v>
      </c>
      <c r="G2" s="15" t="s">
        <v>1369</v>
      </c>
      <c r="H2" s="15" t="s">
        <v>1370</v>
      </c>
      <c r="I2" s="15" t="s">
        <v>1371</v>
      </c>
      <c r="J2" s="27" t="s">
        <v>1372</v>
      </c>
    </row>
    <row r="3" spans="1:10" ht="60" x14ac:dyDescent="0.25">
      <c r="A3" s="22">
        <v>1.2</v>
      </c>
      <c r="B3" s="13" t="s">
        <v>750</v>
      </c>
      <c r="C3" s="13">
        <v>3</v>
      </c>
      <c r="D3" s="13" t="s">
        <v>1012</v>
      </c>
      <c r="E3" s="320" t="str">
        <f>TBPS[[#This Row],[Strand]]&amp;"-"&amp;TBPS[[#This Row],[QET]]&amp; "-" &amp;TBPS[[#This Row],[CO]]</f>
        <v>1.2-Q-NCOI</v>
      </c>
      <c r="F3" s="16" t="s">
        <v>1738</v>
      </c>
      <c r="G3" s="17" t="s">
        <v>1739</v>
      </c>
      <c r="H3" s="17" t="s">
        <v>1740</v>
      </c>
      <c r="I3" s="16" t="s">
        <v>1741</v>
      </c>
      <c r="J3" s="29" t="s">
        <v>1354</v>
      </c>
    </row>
    <row r="4" spans="1:10" ht="72" x14ac:dyDescent="0.25">
      <c r="A4" s="22">
        <v>1.3</v>
      </c>
      <c r="B4" s="13" t="s">
        <v>750</v>
      </c>
      <c r="C4" s="13">
        <v>2</v>
      </c>
      <c r="D4" s="13" t="s">
        <v>1012</v>
      </c>
      <c r="E4" s="320" t="str">
        <f>TBPS[[#This Row],[Strand]]&amp;"-"&amp;TBPS[[#This Row],[QET]]&amp; "-" &amp;TBPS[[#This Row],[CO]]</f>
        <v>1.3-Q-NCOI</v>
      </c>
      <c r="F4" s="17" t="s">
        <v>1359</v>
      </c>
      <c r="G4" s="17" t="s">
        <v>1360</v>
      </c>
      <c r="H4" s="17" t="s">
        <v>1742</v>
      </c>
      <c r="I4" s="17" t="s">
        <v>1362</v>
      </c>
      <c r="J4" s="28" t="s">
        <v>1354</v>
      </c>
    </row>
    <row r="5" spans="1:10" ht="84" x14ac:dyDescent="0.25">
      <c r="A5" s="22">
        <v>1.4</v>
      </c>
      <c r="B5" s="36" t="s">
        <v>731</v>
      </c>
      <c r="C5" s="36">
        <v>1</v>
      </c>
      <c r="D5" s="36" t="s">
        <v>1012</v>
      </c>
      <c r="E5" s="331" t="str">
        <f>TBPS[[#This Row],[Strand]]&amp;"-"&amp;TBPS[[#This Row],[QET]]&amp; "-" &amp;TBPS[[#This Row],[CO]]</f>
        <v>1.4-Q-COI</v>
      </c>
      <c r="F5" s="38" t="s">
        <v>1743</v>
      </c>
      <c r="G5" s="38" t="s">
        <v>1744</v>
      </c>
      <c r="H5" s="38" t="s">
        <v>1745</v>
      </c>
      <c r="I5" s="38" t="s">
        <v>1746</v>
      </c>
      <c r="J5" s="42" t="s">
        <v>1354</v>
      </c>
    </row>
    <row r="6" spans="1:10" ht="84" x14ac:dyDescent="0.25">
      <c r="A6" s="22">
        <v>1.5</v>
      </c>
      <c r="B6" s="13" t="s">
        <v>731</v>
      </c>
      <c r="C6" s="13">
        <v>3</v>
      </c>
      <c r="D6" s="13" t="s">
        <v>1012</v>
      </c>
      <c r="E6" s="320" t="str">
        <f>TBPS[[#This Row],[Strand]]&amp;"-"&amp;TBPS[[#This Row],[QET]]&amp; "-" &amp;TBPS[[#This Row],[CO]]</f>
        <v>1.5-Q-COI</v>
      </c>
      <c r="F6" s="17" t="s">
        <v>1743</v>
      </c>
      <c r="G6" s="17" t="s">
        <v>1744</v>
      </c>
      <c r="H6" s="17" t="s">
        <v>1745</v>
      </c>
      <c r="I6" s="17" t="s">
        <v>1746</v>
      </c>
      <c r="J6" s="29" t="s">
        <v>1354</v>
      </c>
    </row>
    <row r="7" spans="1:10" ht="48" x14ac:dyDescent="0.25">
      <c r="A7" s="22">
        <v>1.6</v>
      </c>
      <c r="B7" s="13" t="s">
        <v>731</v>
      </c>
      <c r="C7" s="13">
        <v>3</v>
      </c>
      <c r="D7" s="13" t="s">
        <v>1012</v>
      </c>
      <c r="E7" s="320" t="str">
        <f>TBPS[[#This Row],[Strand]]&amp;"-"&amp;TBPS[[#This Row],[QET]]&amp; "-" &amp;TBPS[[#This Row],[CO]]</f>
        <v>1.6-Q-COI</v>
      </c>
      <c r="F7" s="15" t="s">
        <v>1368</v>
      </c>
      <c r="G7" s="15" t="s">
        <v>1369</v>
      </c>
      <c r="H7" s="15" t="s">
        <v>1370</v>
      </c>
      <c r="I7" s="15" t="s">
        <v>1371</v>
      </c>
      <c r="J7" s="27" t="s">
        <v>1372</v>
      </c>
    </row>
    <row r="8" spans="1:10" ht="48" x14ac:dyDescent="0.25">
      <c r="A8" s="22">
        <v>1.7</v>
      </c>
      <c r="B8" s="13" t="s">
        <v>731</v>
      </c>
      <c r="C8" s="13">
        <v>3</v>
      </c>
      <c r="D8" s="13" t="s">
        <v>1012</v>
      </c>
      <c r="E8" s="320" t="str">
        <f>TBPS[[#This Row],[Strand]]&amp;"-"&amp;TBPS[[#This Row],[QET]]&amp; "-" &amp;TBPS[[#This Row],[CO]]</f>
        <v>1.7-Q-COI</v>
      </c>
      <c r="F8" s="15" t="s">
        <v>1368</v>
      </c>
      <c r="G8" s="15" t="s">
        <v>1369</v>
      </c>
      <c r="H8" s="15" t="s">
        <v>1370</v>
      </c>
      <c r="I8" s="15" t="s">
        <v>1371</v>
      </c>
      <c r="J8" s="27" t="s">
        <v>1372</v>
      </c>
    </row>
    <row r="9" spans="1:10" ht="48" x14ac:dyDescent="0.25">
      <c r="A9" s="22">
        <v>2.1</v>
      </c>
      <c r="B9" s="13" t="s">
        <v>731</v>
      </c>
      <c r="C9" s="13">
        <v>3</v>
      </c>
      <c r="D9" s="13" t="s">
        <v>1012</v>
      </c>
      <c r="E9" s="320" t="str">
        <f>TBPS[[#This Row],[Strand]]&amp;"-"&amp;TBPS[[#This Row],[QET]]&amp; "-" &amp;TBPS[[#This Row],[CO]]</f>
        <v>2.1-Q-COI</v>
      </c>
      <c r="F9" s="15" t="s">
        <v>1368</v>
      </c>
      <c r="G9" s="15" t="s">
        <v>1369</v>
      </c>
      <c r="H9" s="15" t="s">
        <v>1370</v>
      </c>
      <c r="I9" s="15" t="s">
        <v>1371</v>
      </c>
      <c r="J9" s="27" t="s">
        <v>1372</v>
      </c>
    </row>
    <row r="10" spans="1:10" ht="48" x14ac:dyDescent="0.25">
      <c r="A10" s="22">
        <v>2.2000000000000002</v>
      </c>
      <c r="B10" s="13" t="s">
        <v>731</v>
      </c>
      <c r="C10" s="13">
        <v>3</v>
      </c>
      <c r="D10" s="13" t="s">
        <v>1012</v>
      </c>
      <c r="E10" s="320" t="str">
        <f>TBPS[[#This Row],[Strand]]&amp;"-"&amp;TBPS[[#This Row],[QET]]&amp; "-" &amp;TBPS[[#This Row],[CO]]</f>
        <v>2.2-Q-COI</v>
      </c>
      <c r="F10" s="15" t="s">
        <v>1368</v>
      </c>
      <c r="G10" s="15" t="s">
        <v>1369</v>
      </c>
      <c r="H10" s="15" t="s">
        <v>1370</v>
      </c>
      <c r="I10" s="15" t="s">
        <v>1371</v>
      </c>
      <c r="J10" s="27" t="s">
        <v>1372</v>
      </c>
    </row>
    <row r="11" spans="1:10" ht="48" x14ac:dyDescent="0.25">
      <c r="A11" s="22">
        <v>2.2999999999999998</v>
      </c>
      <c r="B11" s="36" t="s">
        <v>731</v>
      </c>
      <c r="C11" s="36">
        <v>1</v>
      </c>
      <c r="D11" s="36" t="s">
        <v>1012</v>
      </c>
      <c r="E11" s="331" t="str">
        <f>TBPS[[#This Row],[Strand]]&amp;"-"&amp;TBPS[[#This Row],[QET]]&amp; "-" &amp;TBPS[[#This Row],[CO]]</f>
        <v>2.3-Q-COI</v>
      </c>
      <c r="F11" s="38" t="s">
        <v>1747</v>
      </c>
      <c r="G11" s="38" t="s">
        <v>1748</v>
      </c>
      <c r="H11" s="38" t="s">
        <v>1749</v>
      </c>
      <c r="I11" s="38" t="s">
        <v>1750</v>
      </c>
      <c r="J11" s="42" t="s">
        <v>1354</v>
      </c>
    </row>
    <row r="12" spans="1:10" ht="24" x14ac:dyDescent="0.25">
      <c r="A12" s="22">
        <v>2.2999999999999998</v>
      </c>
      <c r="B12" s="36" t="s">
        <v>731</v>
      </c>
      <c r="C12" s="36">
        <v>1</v>
      </c>
      <c r="D12" s="36" t="s">
        <v>1073</v>
      </c>
      <c r="E12" s="331" t="str">
        <f>TBPS[[#This Row],[Strand]]&amp;"-"&amp;TBPS[[#This Row],[QET]]&amp; "-" &amp;TBPS[[#This Row],[CO]]</f>
        <v>2.3-E-COI</v>
      </c>
      <c r="F12" s="38" t="s">
        <v>1751</v>
      </c>
      <c r="G12" s="38" t="s">
        <v>1752</v>
      </c>
      <c r="H12" s="38" t="s">
        <v>1753</v>
      </c>
      <c r="I12" s="38" t="s">
        <v>1754</v>
      </c>
      <c r="J12" s="42" t="s">
        <v>1354</v>
      </c>
    </row>
    <row r="13" spans="1:10" ht="84" x14ac:dyDescent="0.25">
      <c r="A13" s="22">
        <v>2.4</v>
      </c>
      <c r="B13" s="13" t="s">
        <v>750</v>
      </c>
      <c r="C13" s="13">
        <v>3</v>
      </c>
      <c r="D13" s="13" t="s">
        <v>1012</v>
      </c>
      <c r="E13" s="320" t="str">
        <f>TBPS[[#This Row],[Strand]]&amp;"-"&amp;TBPS[[#This Row],[QET]]&amp; "-" &amp;TBPS[[#This Row],[CO]]</f>
        <v>2.4-Q-NCOI</v>
      </c>
      <c r="F13" s="16" t="s">
        <v>1755</v>
      </c>
      <c r="G13" s="17" t="s">
        <v>1374</v>
      </c>
      <c r="H13" s="17" t="s">
        <v>1375</v>
      </c>
      <c r="I13" s="17" t="s">
        <v>1376</v>
      </c>
      <c r="J13" s="29" t="s">
        <v>1354</v>
      </c>
    </row>
    <row r="14" spans="1:10" ht="48" x14ac:dyDescent="0.25">
      <c r="A14" s="22">
        <v>2.4</v>
      </c>
      <c r="B14" s="13" t="s">
        <v>731</v>
      </c>
      <c r="C14" s="13">
        <v>3</v>
      </c>
      <c r="D14" s="13" t="s">
        <v>1012</v>
      </c>
      <c r="E14" s="320" t="str">
        <f>TBPS[[#This Row],[Strand]]&amp;"-"&amp;TBPS[[#This Row],[QET]]&amp; "-" &amp;TBPS[[#This Row],[CO]]</f>
        <v>2.4-Q-COI</v>
      </c>
      <c r="F14" s="15" t="s">
        <v>1368</v>
      </c>
      <c r="G14" s="15" t="s">
        <v>1369</v>
      </c>
      <c r="H14" s="15" t="s">
        <v>1370</v>
      </c>
      <c r="I14" s="15" t="s">
        <v>1371</v>
      </c>
      <c r="J14" s="27" t="s">
        <v>1372</v>
      </c>
    </row>
    <row r="15" spans="1:10" ht="96" x14ac:dyDescent="0.25">
      <c r="A15" s="22">
        <v>2.5</v>
      </c>
      <c r="B15" s="13" t="s">
        <v>750</v>
      </c>
      <c r="C15" s="13">
        <v>3</v>
      </c>
      <c r="D15" s="13" t="s">
        <v>1012</v>
      </c>
      <c r="E15" s="320" t="str">
        <f>TBPS[[#This Row],[Strand]]&amp;"-"&amp;TBPS[[#This Row],[QET]]&amp; "-" &amp;TBPS[[#This Row],[CO]]</f>
        <v>2.5-Q-NCOI</v>
      </c>
      <c r="F15" s="17" t="s">
        <v>1377</v>
      </c>
      <c r="G15" s="17" t="s">
        <v>1378</v>
      </c>
      <c r="H15" s="17" t="s">
        <v>1379</v>
      </c>
      <c r="I15" s="17" t="s">
        <v>1380</v>
      </c>
      <c r="J15" s="29" t="s">
        <v>1354</v>
      </c>
    </row>
    <row r="16" spans="1:10" ht="48" x14ac:dyDescent="0.25">
      <c r="A16" s="22">
        <v>2.5</v>
      </c>
      <c r="B16" s="13" t="s">
        <v>731</v>
      </c>
      <c r="C16" s="13">
        <v>3</v>
      </c>
      <c r="D16" s="13" t="s">
        <v>1012</v>
      </c>
      <c r="E16" s="320" t="str">
        <f>TBPS[[#This Row],[Strand]]&amp;"-"&amp;TBPS[[#This Row],[QET]]&amp; "-" &amp;TBPS[[#This Row],[CO]]</f>
        <v>2.5-Q-COI</v>
      </c>
      <c r="F16" s="15" t="s">
        <v>1368</v>
      </c>
      <c r="G16" s="15" t="s">
        <v>1369</v>
      </c>
      <c r="H16" s="15" t="s">
        <v>1370</v>
      </c>
      <c r="I16" s="15" t="s">
        <v>1371</v>
      </c>
      <c r="J16" s="27" t="s">
        <v>1372</v>
      </c>
    </row>
    <row r="17" spans="1:10" ht="60" x14ac:dyDescent="0.25">
      <c r="A17" s="22">
        <v>2.6</v>
      </c>
      <c r="B17" s="36" t="s">
        <v>731</v>
      </c>
      <c r="C17" s="36">
        <v>1</v>
      </c>
      <c r="D17" s="36" t="s">
        <v>1012</v>
      </c>
      <c r="E17" s="331" t="str">
        <f>TBPS[[#This Row],[Strand]]&amp;"-"&amp;TBPS[[#This Row],[QET]]&amp; "-" &amp;TBPS[[#This Row],[CO]]</f>
        <v>2.6-Q-COI</v>
      </c>
      <c r="F17" s="38" t="s">
        <v>1756</v>
      </c>
      <c r="G17" s="38" t="s">
        <v>1757</v>
      </c>
      <c r="H17" s="38" t="s">
        <v>1758</v>
      </c>
      <c r="I17" s="38" t="s">
        <v>1759</v>
      </c>
      <c r="J17" s="42" t="s">
        <v>1354</v>
      </c>
    </row>
    <row r="18" spans="1:10" ht="48" x14ac:dyDescent="0.25">
      <c r="A18" s="22">
        <v>2.6</v>
      </c>
      <c r="B18" s="36" t="s">
        <v>731</v>
      </c>
      <c r="C18" s="36">
        <v>1</v>
      </c>
      <c r="D18" s="36" t="s">
        <v>1073</v>
      </c>
      <c r="E18" s="331" t="str">
        <f>TBPS[[#This Row],[Strand]]&amp;"-"&amp;TBPS[[#This Row],[QET]]&amp; "-" &amp;TBPS[[#This Row],[CO]]</f>
        <v>2.6-E-COI</v>
      </c>
      <c r="F18" s="38" t="s">
        <v>1760</v>
      </c>
      <c r="G18" s="38" t="s">
        <v>1761</v>
      </c>
      <c r="H18" s="38" t="s">
        <v>1762</v>
      </c>
      <c r="I18" s="38" t="s">
        <v>1763</v>
      </c>
      <c r="J18" s="42" t="s">
        <v>1354</v>
      </c>
    </row>
    <row r="19" spans="1:10" ht="48" x14ac:dyDescent="0.25">
      <c r="A19" s="22">
        <v>3.1</v>
      </c>
      <c r="B19" s="36" t="s">
        <v>731</v>
      </c>
      <c r="C19" s="36">
        <v>1</v>
      </c>
      <c r="D19" s="36" t="s">
        <v>1012</v>
      </c>
      <c r="E19" s="331" t="str">
        <f>TBPS[[#This Row],[Strand]]&amp;"-"&amp;TBPS[[#This Row],[QET]]&amp; "-" &amp;TBPS[[#This Row],[CO]]</f>
        <v>3.1-Q-COI</v>
      </c>
      <c r="F19" s="38" t="s">
        <v>1764</v>
      </c>
      <c r="G19" s="38" t="s">
        <v>1765</v>
      </c>
      <c r="H19" s="38" t="s">
        <v>1766</v>
      </c>
      <c r="I19" s="38" t="s">
        <v>1767</v>
      </c>
      <c r="J19" s="42" t="s">
        <v>1768</v>
      </c>
    </row>
    <row r="20" spans="1:10" ht="48" x14ac:dyDescent="0.25">
      <c r="A20" s="22">
        <v>3.1</v>
      </c>
      <c r="B20" s="36" t="s">
        <v>731</v>
      </c>
      <c r="C20" s="36">
        <v>1</v>
      </c>
      <c r="D20" s="36" t="s">
        <v>1073</v>
      </c>
      <c r="E20" s="331" t="str">
        <f>TBPS[[#This Row],[Strand]]&amp;"-"&amp;TBPS[[#This Row],[QET]]&amp; "-" &amp;TBPS[[#This Row],[CO]]</f>
        <v>3.1-E-COI</v>
      </c>
      <c r="F20" s="38" t="s">
        <v>1769</v>
      </c>
      <c r="G20" s="38" t="s">
        <v>1770</v>
      </c>
      <c r="H20" s="38" t="s">
        <v>1771</v>
      </c>
      <c r="I20" s="38" t="s">
        <v>1772</v>
      </c>
      <c r="J20" s="42" t="s">
        <v>1354</v>
      </c>
    </row>
    <row r="21" spans="1:10" ht="84" x14ac:dyDescent="0.25">
      <c r="A21" s="22">
        <v>3.2</v>
      </c>
      <c r="B21" s="13" t="s">
        <v>750</v>
      </c>
      <c r="C21" s="13">
        <v>2</v>
      </c>
      <c r="D21" s="13" t="s">
        <v>1012</v>
      </c>
      <c r="E21" s="320" t="str">
        <f>TBPS[[#This Row],[Strand]]&amp;"-"&amp;TBPS[[#This Row],[QET]]&amp; "-" &amp;TBPS[[#This Row],[CO]]</f>
        <v>3.2-Q-NCOI</v>
      </c>
      <c r="F21" s="16" t="s">
        <v>1773</v>
      </c>
      <c r="G21" s="16" t="s">
        <v>1774</v>
      </c>
      <c r="H21" s="17" t="s">
        <v>1775</v>
      </c>
      <c r="I21" s="17" t="s">
        <v>1776</v>
      </c>
      <c r="J21" s="28" t="s">
        <v>1354</v>
      </c>
    </row>
    <row r="22" spans="1:10" ht="48" x14ac:dyDescent="0.25">
      <c r="A22" s="22">
        <v>3.3</v>
      </c>
      <c r="B22" s="13" t="s">
        <v>731</v>
      </c>
      <c r="C22" s="13">
        <v>3</v>
      </c>
      <c r="D22" s="13" t="s">
        <v>1012</v>
      </c>
      <c r="E22" s="320" t="str">
        <f>TBPS[[#This Row],[Strand]]&amp;"-"&amp;TBPS[[#This Row],[QET]]&amp; "-" &amp;TBPS[[#This Row],[CO]]</f>
        <v>3.3-Q-COI</v>
      </c>
      <c r="F22" s="15" t="s">
        <v>1368</v>
      </c>
      <c r="G22" s="15" t="s">
        <v>1369</v>
      </c>
      <c r="H22" s="15" t="s">
        <v>1370</v>
      </c>
      <c r="I22" s="15" t="s">
        <v>1371</v>
      </c>
      <c r="J22" s="27" t="s">
        <v>1372</v>
      </c>
    </row>
    <row r="23" spans="1:10" ht="36" x14ac:dyDescent="0.25">
      <c r="A23" s="22">
        <v>3.3</v>
      </c>
      <c r="B23" s="13" t="s">
        <v>750</v>
      </c>
      <c r="C23" s="13">
        <v>3</v>
      </c>
      <c r="D23" s="13" t="s">
        <v>1012</v>
      </c>
      <c r="E23" s="320" t="str">
        <f>TBPS[[#This Row],[Strand]]&amp;"-"&amp;TBPS[[#This Row],[QET]]&amp; "-" &amp;TBPS[[#This Row],[CO]]</f>
        <v>3.3-Q-NCOI</v>
      </c>
      <c r="F23" s="16" t="s">
        <v>1381</v>
      </c>
      <c r="G23" s="16" t="s">
        <v>1382</v>
      </c>
      <c r="H23" s="16" t="s">
        <v>1383</v>
      </c>
      <c r="I23" s="16" t="s">
        <v>1384</v>
      </c>
      <c r="J23" s="28" t="s">
        <v>1777</v>
      </c>
    </row>
    <row r="24" spans="1:10" ht="48" x14ac:dyDescent="0.25">
      <c r="A24" s="22">
        <v>3.4</v>
      </c>
      <c r="B24" s="13" t="s">
        <v>731</v>
      </c>
      <c r="C24" s="13">
        <v>2</v>
      </c>
      <c r="D24" s="13" t="s">
        <v>1012</v>
      </c>
      <c r="E24" s="320" t="str">
        <f>TBPS[[#This Row],[Strand]]&amp;"-"&amp;TBPS[[#This Row],[QET]]&amp; "-" &amp;TBPS[[#This Row],[CO]]</f>
        <v>3.4-Q-COI</v>
      </c>
      <c r="F24" s="15" t="s">
        <v>1368</v>
      </c>
      <c r="G24" s="15" t="s">
        <v>1369</v>
      </c>
      <c r="H24" s="15" t="s">
        <v>1370</v>
      </c>
      <c r="I24" s="15" t="s">
        <v>1371</v>
      </c>
      <c r="J24" s="27" t="s">
        <v>1372</v>
      </c>
    </row>
    <row r="25" spans="1:10" ht="48" x14ac:dyDescent="0.25">
      <c r="A25" s="22">
        <v>3.5</v>
      </c>
      <c r="B25" s="13" t="s">
        <v>731</v>
      </c>
      <c r="C25" s="13">
        <v>3</v>
      </c>
      <c r="D25" s="13" t="s">
        <v>1012</v>
      </c>
      <c r="E25" s="320" t="str">
        <f>TBPS[[#This Row],[Strand]]&amp;"-"&amp;TBPS[[#This Row],[QET]]&amp; "-" &amp;TBPS[[#This Row],[CO]]</f>
        <v>3.5-Q-COI</v>
      </c>
      <c r="F25" s="15" t="s">
        <v>1368</v>
      </c>
      <c r="G25" s="15" t="s">
        <v>1369</v>
      </c>
      <c r="H25" s="15" t="s">
        <v>1370</v>
      </c>
      <c r="I25" s="15" t="s">
        <v>1371</v>
      </c>
      <c r="J25" s="27" t="s">
        <v>1372</v>
      </c>
    </row>
    <row r="26" spans="1:10" ht="36" x14ac:dyDescent="0.25">
      <c r="A26" s="22">
        <v>3.5</v>
      </c>
      <c r="B26" s="13" t="s">
        <v>750</v>
      </c>
      <c r="C26" s="13">
        <v>3</v>
      </c>
      <c r="D26" s="13" t="s">
        <v>1012</v>
      </c>
      <c r="E26" s="320" t="str">
        <f>TBPS[[#This Row],[Strand]]&amp;"-"&amp;TBPS[[#This Row],[QET]]&amp; "-" &amp;TBPS[[#This Row],[CO]]</f>
        <v>3.5-Q-NCOI</v>
      </c>
      <c r="F26" s="16" t="s">
        <v>1381</v>
      </c>
      <c r="G26" s="16" t="s">
        <v>1382</v>
      </c>
      <c r="H26" s="16" t="s">
        <v>1383</v>
      </c>
      <c r="I26" s="16" t="s">
        <v>1384</v>
      </c>
      <c r="J26" s="29" t="s">
        <v>1385</v>
      </c>
    </row>
    <row r="27" spans="1:10" ht="48" x14ac:dyDescent="0.25">
      <c r="A27" s="22">
        <v>4.0999999999999996</v>
      </c>
      <c r="B27" s="36" t="s">
        <v>731</v>
      </c>
      <c r="C27" s="36">
        <v>1</v>
      </c>
      <c r="D27" s="36" t="s">
        <v>1012</v>
      </c>
      <c r="E27" s="331" t="str">
        <f>TBPS[[#This Row],[Strand]]&amp;"-"&amp;TBPS[[#This Row],[QET]]&amp; "-" &amp;TBPS[[#This Row],[CO]]</f>
        <v>4.1-Q-COI</v>
      </c>
      <c r="F27" s="38" t="s">
        <v>1778</v>
      </c>
      <c r="G27" s="38" t="s">
        <v>1779</v>
      </c>
      <c r="H27" s="38" t="s">
        <v>1780</v>
      </c>
      <c r="I27" s="38" t="s">
        <v>1781</v>
      </c>
      <c r="J27" s="42" t="s">
        <v>1354</v>
      </c>
    </row>
    <row r="28" spans="1:10" ht="24" x14ac:dyDescent="0.25">
      <c r="A28" s="22">
        <v>4.0999999999999996</v>
      </c>
      <c r="B28" s="36" t="s">
        <v>731</v>
      </c>
      <c r="C28" s="36">
        <v>1</v>
      </c>
      <c r="D28" s="36" t="s">
        <v>1073</v>
      </c>
      <c r="E28" s="331" t="str">
        <f>TBPS[[#This Row],[Strand]]&amp;"-"&amp;TBPS[[#This Row],[QET]]&amp; "-" &amp;TBPS[[#This Row],[CO]]</f>
        <v>4.1-E-COI</v>
      </c>
      <c r="F28" s="38" t="s">
        <v>1751</v>
      </c>
      <c r="G28" s="38" t="s">
        <v>1752</v>
      </c>
      <c r="H28" s="38" t="s">
        <v>1753</v>
      </c>
      <c r="I28" s="38" t="s">
        <v>1754</v>
      </c>
      <c r="J28" s="42" t="s">
        <v>1354</v>
      </c>
    </row>
    <row r="29" spans="1:10" ht="48" x14ac:dyDescent="0.25">
      <c r="A29" s="22">
        <v>4.2</v>
      </c>
      <c r="B29" s="13" t="s">
        <v>750</v>
      </c>
      <c r="C29" s="13">
        <v>2</v>
      </c>
      <c r="D29" s="13" t="s">
        <v>1012</v>
      </c>
      <c r="E29" s="320" t="str">
        <f>TBPS[[#This Row],[Strand]]&amp;"-"&amp;TBPS[[#This Row],[QET]]&amp; "-" &amp;TBPS[[#This Row],[CO]]</f>
        <v>4.2-Q-NCOI</v>
      </c>
      <c r="F29" s="16" t="s">
        <v>1782</v>
      </c>
      <c r="G29" s="16" t="s">
        <v>1783</v>
      </c>
      <c r="H29" s="16" t="s">
        <v>1784</v>
      </c>
      <c r="I29" s="16" t="s">
        <v>1785</v>
      </c>
      <c r="J29" s="28" t="s">
        <v>1354</v>
      </c>
    </row>
    <row r="30" spans="1:10" ht="72" x14ac:dyDescent="0.25">
      <c r="A30" s="22">
        <v>4.3</v>
      </c>
      <c r="B30" s="13" t="s">
        <v>750</v>
      </c>
      <c r="C30" s="13">
        <v>3</v>
      </c>
      <c r="D30" s="13" t="s">
        <v>1012</v>
      </c>
      <c r="E30" s="320" t="str">
        <f>TBPS[[#This Row],[Strand]]&amp;"-"&amp;TBPS[[#This Row],[QET]]&amp; "-" &amp;TBPS[[#This Row],[CO]]</f>
        <v>4.3-Q-NCOI</v>
      </c>
      <c r="F30" s="16" t="s">
        <v>1786</v>
      </c>
      <c r="G30" s="17" t="s">
        <v>1787</v>
      </c>
      <c r="H30" s="17" t="s">
        <v>1788</v>
      </c>
      <c r="I30" s="17" t="s">
        <v>1789</v>
      </c>
      <c r="J30" s="29" t="s">
        <v>1354</v>
      </c>
    </row>
    <row r="31" spans="1:10" ht="60" x14ac:dyDescent="0.25">
      <c r="A31" s="22">
        <v>4.4000000000000004</v>
      </c>
      <c r="B31" s="36" t="s">
        <v>750</v>
      </c>
      <c r="C31" s="36">
        <v>1</v>
      </c>
      <c r="D31" s="36" t="s">
        <v>1012</v>
      </c>
      <c r="E31" s="331" t="str">
        <f>TBPS[[#This Row],[Strand]]&amp;"-"&amp;TBPS[[#This Row],[QET]]&amp; "-" &amp;TBPS[[#This Row],[CO]]</f>
        <v>4.4-Q-NCOI</v>
      </c>
      <c r="F31" s="38" t="s">
        <v>1790</v>
      </c>
      <c r="G31" s="38" t="s">
        <v>1791</v>
      </c>
      <c r="H31" s="38" t="s">
        <v>1792</v>
      </c>
      <c r="I31" s="38" t="s">
        <v>1793</v>
      </c>
      <c r="J31" s="42" t="s">
        <v>1354</v>
      </c>
    </row>
    <row r="32" spans="1:10" ht="48" x14ac:dyDescent="0.25">
      <c r="A32" s="22">
        <v>4.4000000000000004</v>
      </c>
      <c r="B32" s="36" t="s">
        <v>750</v>
      </c>
      <c r="C32" s="36">
        <v>1</v>
      </c>
      <c r="D32" s="36" t="s">
        <v>1073</v>
      </c>
      <c r="E32" s="331" t="str">
        <f>TBPS[[#This Row],[Strand]]&amp;"-"&amp;TBPS[[#This Row],[QET]]&amp; "-" &amp;TBPS[[#This Row],[CO]]</f>
        <v>4.4-E-NCOI</v>
      </c>
      <c r="F32" s="38" t="s">
        <v>1794</v>
      </c>
      <c r="G32" s="38" t="s">
        <v>1795</v>
      </c>
      <c r="H32" s="38" t="s">
        <v>1796</v>
      </c>
      <c r="I32" s="38" t="s">
        <v>1797</v>
      </c>
      <c r="J32" s="42" t="s">
        <v>1354</v>
      </c>
    </row>
    <row r="33" spans="1:10" ht="48" x14ac:dyDescent="0.25">
      <c r="A33" s="22">
        <v>4.5</v>
      </c>
      <c r="B33" s="13" t="s">
        <v>731</v>
      </c>
      <c r="C33" s="13">
        <v>2</v>
      </c>
      <c r="D33" s="13" t="s">
        <v>1012</v>
      </c>
      <c r="E33" s="320" t="str">
        <f>TBPS[[#This Row],[Strand]]&amp;"-"&amp;TBPS[[#This Row],[QET]]&amp; "-" &amp;TBPS[[#This Row],[CO]]</f>
        <v>4.5-Q-COI</v>
      </c>
      <c r="F33" s="15" t="s">
        <v>1368</v>
      </c>
      <c r="G33" s="15" t="s">
        <v>1369</v>
      </c>
      <c r="H33" s="15" t="s">
        <v>1370</v>
      </c>
      <c r="I33" s="15" t="s">
        <v>1371</v>
      </c>
      <c r="J33" s="27" t="s">
        <v>1372</v>
      </c>
    </row>
    <row r="34" spans="1:10" ht="72" x14ac:dyDescent="0.25">
      <c r="A34" s="22">
        <v>5.0999999999999996</v>
      </c>
      <c r="B34" s="36" t="s">
        <v>731</v>
      </c>
      <c r="C34" s="36">
        <v>1</v>
      </c>
      <c r="D34" s="36" t="s">
        <v>1012</v>
      </c>
      <c r="E34" s="331" t="str">
        <f>TBPS[[#This Row],[Strand]]&amp;"-"&amp;TBPS[[#This Row],[QET]]&amp; "-" &amp;TBPS[[#This Row],[CO]]</f>
        <v>5.1-Q-COI</v>
      </c>
      <c r="F34" s="38" t="s">
        <v>1798</v>
      </c>
      <c r="G34" s="38" t="s">
        <v>1799</v>
      </c>
      <c r="H34" s="38" t="s">
        <v>1800</v>
      </c>
      <c r="I34" s="38" t="s">
        <v>1801</v>
      </c>
      <c r="J34" s="42" t="s">
        <v>1354</v>
      </c>
    </row>
    <row r="35" spans="1:10" ht="36" x14ac:dyDescent="0.25">
      <c r="A35" s="22">
        <v>5.0999999999999996</v>
      </c>
      <c r="B35" s="36" t="s">
        <v>731</v>
      </c>
      <c r="C35" s="36">
        <v>1</v>
      </c>
      <c r="D35" s="36" t="s">
        <v>1073</v>
      </c>
      <c r="E35" s="331" t="str">
        <f>TBPS[[#This Row],[Strand]]&amp;"-"&amp;TBPS[[#This Row],[QET]]&amp; "-" &amp;TBPS[[#This Row],[CO]]</f>
        <v>5.1-E-COI</v>
      </c>
      <c r="F35" s="38" t="s">
        <v>1802</v>
      </c>
      <c r="G35" s="38" t="s">
        <v>1803</v>
      </c>
      <c r="H35" s="38" t="s">
        <v>1804</v>
      </c>
      <c r="I35" s="38" t="s">
        <v>1805</v>
      </c>
      <c r="J35" s="42" t="s">
        <v>1354</v>
      </c>
    </row>
    <row r="36" spans="1:10" ht="48" x14ac:dyDescent="0.25">
      <c r="A36" s="22">
        <v>5.2</v>
      </c>
      <c r="B36" s="36" t="s">
        <v>750</v>
      </c>
      <c r="C36" s="36">
        <v>1</v>
      </c>
      <c r="D36" s="36" t="s">
        <v>1012</v>
      </c>
      <c r="E36" s="331" t="str">
        <f>TBPS[[#This Row],[Strand]]&amp;"-"&amp;TBPS[[#This Row],[QET]]&amp; "-" &amp;TBPS[[#This Row],[CO]]</f>
        <v>5.2-Q-NCOI</v>
      </c>
      <c r="F36" s="38" t="s">
        <v>1806</v>
      </c>
      <c r="G36" s="38" t="s">
        <v>1807</v>
      </c>
      <c r="H36" s="38" t="s">
        <v>1808</v>
      </c>
      <c r="I36" s="38" t="s">
        <v>1809</v>
      </c>
      <c r="J36" s="42" t="s">
        <v>1354</v>
      </c>
    </row>
    <row r="37" spans="1:10" ht="24" x14ac:dyDescent="0.25">
      <c r="A37" s="22">
        <v>5.2</v>
      </c>
      <c r="B37" s="36" t="s">
        <v>750</v>
      </c>
      <c r="C37" s="36">
        <v>1</v>
      </c>
      <c r="D37" s="36" t="s">
        <v>1073</v>
      </c>
      <c r="E37" s="331" t="str">
        <f>TBPS[[#This Row],[Strand]]&amp;"-"&amp;TBPS[[#This Row],[QET]]&amp; "-" &amp;TBPS[[#This Row],[CO]]</f>
        <v>5.2-E-NCOI</v>
      </c>
      <c r="F37" s="38" t="s">
        <v>1810</v>
      </c>
      <c r="G37" s="38" t="s">
        <v>1811</v>
      </c>
      <c r="H37" s="38" t="s">
        <v>1812</v>
      </c>
      <c r="I37" s="38" t="s">
        <v>1584</v>
      </c>
      <c r="J37" s="42" t="s">
        <v>1354</v>
      </c>
    </row>
    <row r="38" spans="1:10" ht="24" x14ac:dyDescent="0.25">
      <c r="A38" s="22">
        <v>5.2</v>
      </c>
      <c r="B38" s="36" t="s">
        <v>750</v>
      </c>
      <c r="C38" s="36">
        <v>1</v>
      </c>
      <c r="D38" s="36" t="s">
        <v>1014</v>
      </c>
      <c r="E38" s="331" t="str">
        <f>TBPS[[#This Row],[Strand]]&amp;"-"&amp;TBPS[[#This Row],[QET]]&amp; "-" &amp;TBPS[[#This Row],[CO]]</f>
        <v>5.2-T-NCOI</v>
      </c>
      <c r="F38" s="38" t="s">
        <v>1813</v>
      </c>
      <c r="G38" s="38" t="s">
        <v>1814</v>
      </c>
      <c r="H38" s="38" t="s">
        <v>1815</v>
      </c>
      <c r="I38" s="38" t="s">
        <v>1816</v>
      </c>
      <c r="J38" s="42" t="s">
        <v>1817</v>
      </c>
    </row>
    <row r="39" spans="1:10" ht="36" x14ac:dyDescent="0.25">
      <c r="A39" s="22">
        <v>5.3</v>
      </c>
      <c r="B39" s="13" t="s">
        <v>750</v>
      </c>
      <c r="C39" s="13">
        <v>2</v>
      </c>
      <c r="D39" s="13" t="s">
        <v>1012</v>
      </c>
      <c r="E39" s="320" t="str">
        <f>TBPS[[#This Row],[Strand]]&amp;"-"&amp;TBPS[[#This Row],[QET]]&amp; "-" &amp;TBPS[[#This Row],[CO]]</f>
        <v>5.3-Q-NCOI</v>
      </c>
      <c r="F39" s="17" t="s">
        <v>1818</v>
      </c>
      <c r="G39" s="17" t="s">
        <v>1819</v>
      </c>
      <c r="H39" s="17" t="s">
        <v>1820</v>
      </c>
      <c r="I39" s="17" t="s">
        <v>1821</v>
      </c>
      <c r="J39" s="29" t="s">
        <v>1703</v>
      </c>
    </row>
    <row r="40" spans="1:10" ht="72" x14ac:dyDescent="0.25">
      <c r="A40" s="41">
        <v>5.4</v>
      </c>
      <c r="B40" s="36" t="s">
        <v>750</v>
      </c>
      <c r="C40" s="36">
        <v>1</v>
      </c>
      <c r="D40" s="36" t="s">
        <v>1012</v>
      </c>
      <c r="E40" s="331" t="str">
        <f>TBPS[[#This Row],[Strand]]&amp;"-"&amp;TBPS[[#This Row],[QET]]&amp; "-" &amp;TBPS[[#This Row],[CO]]</f>
        <v>5.4-Q-NCOI</v>
      </c>
      <c r="F40" s="38" t="s">
        <v>1822</v>
      </c>
      <c r="G40" s="38" t="s">
        <v>1823</v>
      </c>
      <c r="H40" s="38" t="s">
        <v>1824</v>
      </c>
      <c r="I40" s="38" t="s">
        <v>1825</v>
      </c>
      <c r="J40" s="42" t="s">
        <v>1354</v>
      </c>
    </row>
    <row r="41" spans="1:10" ht="24" x14ac:dyDescent="0.25">
      <c r="A41" s="41">
        <v>5.4</v>
      </c>
      <c r="B41" s="36" t="s">
        <v>750</v>
      </c>
      <c r="C41" s="36">
        <v>1</v>
      </c>
      <c r="D41" s="36" t="s">
        <v>1073</v>
      </c>
      <c r="E41" s="331" t="str">
        <f>TBPS[[#This Row],[Strand]]&amp;"-"&amp;TBPS[[#This Row],[QET]]&amp; "-" &amp;TBPS[[#This Row],[CO]]</f>
        <v>5.4-E-NCOI</v>
      </c>
      <c r="F41" s="38" t="s">
        <v>1810</v>
      </c>
      <c r="G41" s="38" t="s">
        <v>1811</v>
      </c>
      <c r="H41" s="38" t="s">
        <v>1812</v>
      </c>
      <c r="I41" s="38" t="s">
        <v>1826</v>
      </c>
      <c r="J41" s="42" t="s">
        <v>1354</v>
      </c>
    </row>
    <row r="42" spans="1:10" ht="24" x14ac:dyDescent="0.25">
      <c r="A42" s="41">
        <v>5.4</v>
      </c>
      <c r="B42" s="36" t="s">
        <v>750</v>
      </c>
      <c r="C42" s="36">
        <v>1</v>
      </c>
      <c r="D42" s="36" t="s">
        <v>1014</v>
      </c>
      <c r="E42" s="331" t="str">
        <f>TBPS[[#This Row],[Strand]]&amp;"-"&amp;TBPS[[#This Row],[QET]]&amp; "-" &amp;TBPS[[#This Row],[CO]]</f>
        <v>5.4-T-NCOI</v>
      </c>
      <c r="F42" s="38" t="s">
        <v>1813</v>
      </c>
      <c r="G42" s="38" t="s">
        <v>1814</v>
      </c>
      <c r="H42" s="38" t="s">
        <v>1815</v>
      </c>
      <c r="I42" s="38" t="s">
        <v>1816</v>
      </c>
      <c r="J42" s="42" t="s">
        <v>1354</v>
      </c>
    </row>
    <row r="43" spans="1:10" ht="72" x14ac:dyDescent="0.25">
      <c r="A43" s="22">
        <v>5.5</v>
      </c>
      <c r="B43" s="13" t="s">
        <v>750</v>
      </c>
      <c r="C43" s="13">
        <v>3</v>
      </c>
      <c r="D43" s="13" t="s">
        <v>1012</v>
      </c>
      <c r="E43" s="320" t="str">
        <f>TBPS[[#This Row],[Strand]]&amp;"-"&amp;TBPS[[#This Row],[QET]]&amp; "-" &amp;TBPS[[#This Row],[CO]]</f>
        <v>5.5-Q-NCOI</v>
      </c>
      <c r="F43" s="16" t="s">
        <v>1827</v>
      </c>
      <c r="G43" s="16" t="s">
        <v>1828</v>
      </c>
      <c r="H43" s="16" t="s">
        <v>1829</v>
      </c>
      <c r="I43" s="16" t="s">
        <v>1830</v>
      </c>
      <c r="J43" s="29" t="s">
        <v>1354</v>
      </c>
    </row>
    <row r="44" spans="1:10" ht="72" x14ac:dyDescent="0.25">
      <c r="A44" s="22">
        <v>6.1</v>
      </c>
      <c r="B44" s="13" t="s">
        <v>750</v>
      </c>
      <c r="C44" s="13">
        <v>3</v>
      </c>
      <c r="D44" s="13" t="s">
        <v>1012</v>
      </c>
      <c r="E44" s="320" t="str">
        <f>TBPS[[#This Row],[Strand]]&amp;"-"&amp;TBPS[[#This Row],[QET]]&amp; "-" &amp;TBPS[[#This Row],[CO]]</f>
        <v>6.1-Q-NCOI</v>
      </c>
      <c r="F44" s="17" t="s">
        <v>1831</v>
      </c>
      <c r="G44" s="17" t="s">
        <v>1832</v>
      </c>
      <c r="H44" s="17" t="s">
        <v>1833</v>
      </c>
      <c r="I44" s="17" t="s">
        <v>1834</v>
      </c>
      <c r="J44" s="29" t="s">
        <v>1354</v>
      </c>
    </row>
    <row r="45" spans="1:10" ht="60" x14ac:dyDescent="0.25">
      <c r="A45" s="22">
        <v>6.2</v>
      </c>
      <c r="B45" s="13" t="s">
        <v>750</v>
      </c>
      <c r="C45" s="13">
        <v>2</v>
      </c>
      <c r="D45" s="13" t="s">
        <v>1012</v>
      </c>
      <c r="E45" s="320" t="str">
        <f>TBPS[[#This Row],[Strand]]&amp;"-"&amp;TBPS[[#This Row],[QET]]&amp; "-" &amp;TBPS[[#This Row],[CO]]</f>
        <v>6.2-Q-NCOI</v>
      </c>
      <c r="F45" s="17" t="s">
        <v>1835</v>
      </c>
      <c r="G45" s="39" t="s">
        <v>1836</v>
      </c>
      <c r="H45" s="40"/>
      <c r="I45" s="40"/>
      <c r="J45" s="28" t="s">
        <v>1354</v>
      </c>
    </row>
    <row r="46" spans="1:10" ht="96" x14ac:dyDescent="0.25">
      <c r="A46" s="22">
        <v>6.3</v>
      </c>
      <c r="B46" s="13" t="s">
        <v>750</v>
      </c>
      <c r="C46" s="13">
        <v>3</v>
      </c>
      <c r="D46" s="13" t="s">
        <v>1012</v>
      </c>
      <c r="E46" s="320" t="str">
        <f>TBPS[[#This Row],[Strand]]&amp;"-"&amp;TBPS[[#This Row],[QET]]&amp; "-" &amp;TBPS[[#This Row],[CO]]</f>
        <v>6.3-Q-NCOI</v>
      </c>
      <c r="F46" s="17" t="s">
        <v>1837</v>
      </c>
      <c r="G46" s="17" t="s">
        <v>1838</v>
      </c>
      <c r="H46" s="17" t="s">
        <v>1839</v>
      </c>
      <c r="I46" s="16" t="s">
        <v>1840</v>
      </c>
      <c r="J46" s="28" t="s">
        <v>1354</v>
      </c>
    </row>
    <row r="47" spans="1:10" ht="60" x14ac:dyDescent="0.25">
      <c r="A47" s="22">
        <v>6.4</v>
      </c>
      <c r="B47" s="13" t="s">
        <v>750</v>
      </c>
      <c r="C47" s="13">
        <v>3</v>
      </c>
      <c r="D47" s="13" t="s">
        <v>1012</v>
      </c>
      <c r="E47" s="320" t="str">
        <f>TBPS[[#This Row],[Strand]]&amp;"-"&amp;TBPS[[#This Row],[QET]]&amp; "-" &amp;TBPS[[#This Row],[CO]]</f>
        <v>6.4-Q-NCOI</v>
      </c>
      <c r="F47" s="17" t="s">
        <v>1841</v>
      </c>
      <c r="G47" s="17" t="s">
        <v>1842</v>
      </c>
      <c r="H47" s="17" t="s">
        <v>1843</v>
      </c>
      <c r="I47" s="17" t="s">
        <v>1844</v>
      </c>
      <c r="J47" s="29" t="s">
        <v>1354</v>
      </c>
    </row>
    <row r="48" spans="1:10" ht="48" x14ac:dyDescent="0.25">
      <c r="A48" s="22">
        <v>7.1</v>
      </c>
      <c r="B48" s="13" t="s">
        <v>750</v>
      </c>
      <c r="C48" s="13">
        <v>3</v>
      </c>
      <c r="D48" s="13" t="s">
        <v>1012</v>
      </c>
      <c r="E48" s="320" t="str">
        <f>TBPS[[#This Row],[Strand]]&amp;"-"&amp;TBPS[[#This Row],[QET]]&amp; "-" &amp;TBPS[[#This Row],[CO]]</f>
        <v>7.1-Q-NCOI</v>
      </c>
      <c r="F48" s="16" t="s">
        <v>1845</v>
      </c>
      <c r="G48" s="16" t="s">
        <v>1846</v>
      </c>
      <c r="H48" s="16" t="s">
        <v>1847</v>
      </c>
      <c r="I48" s="16" t="s">
        <v>1848</v>
      </c>
      <c r="J48" s="29" t="s">
        <v>1354</v>
      </c>
    </row>
    <row r="49" spans="1:10" ht="72" x14ac:dyDescent="0.25">
      <c r="A49" s="22">
        <v>7.2</v>
      </c>
      <c r="B49" s="13" t="s">
        <v>750</v>
      </c>
      <c r="C49" s="13">
        <v>3</v>
      </c>
      <c r="D49" s="13" t="s">
        <v>1012</v>
      </c>
      <c r="E49" s="320" t="str">
        <f>TBPS[[#This Row],[Strand]]&amp;"-"&amp;TBPS[[#This Row],[QET]]&amp; "-" &amp;TBPS[[#This Row],[CO]]</f>
        <v>7.2-Q-NCOI</v>
      </c>
      <c r="F49" s="17" t="s">
        <v>1463</v>
      </c>
      <c r="G49" s="17" t="s">
        <v>1464</v>
      </c>
      <c r="H49" s="17" t="s">
        <v>1465</v>
      </c>
      <c r="I49" s="17" t="s">
        <v>1466</v>
      </c>
      <c r="J49" s="28" t="s">
        <v>1354</v>
      </c>
    </row>
    <row r="50" spans="1:10" ht="72" x14ac:dyDescent="0.25">
      <c r="A50" s="22">
        <v>7.3</v>
      </c>
      <c r="B50" s="13" t="s">
        <v>750</v>
      </c>
      <c r="C50" s="13">
        <v>2</v>
      </c>
      <c r="D50" s="13" t="s">
        <v>1012</v>
      </c>
      <c r="E50" s="320" t="str">
        <f>TBPS[[#This Row],[Strand]]&amp;"-"&amp;TBPS[[#This Row],[QET]]&amp; "-" &amp;TBPS[[#This Row],[CO]]</f>
        <v>7.3-Q-NCOI</v>
      </c>
      <c r="F50" s="16" t="s">
        <v>1849</v>
      </c>
      <c r="G50" s="40"/>
      <c r="H50" s="40"/>
      <c r="I50" s="40"/>
      <c r="J50" s="28" t="s">
        <v>1354</v>
      </c>
    </row>
    <row r="51" spans="1:10" ht="24" x14ac:dyDescent="0.25">
      <c r="A51" s="22">
        <v>7.3</v>
      </c>
      <c r="B51" s="13" t="s">
        <v>750</v>
      </c>
      <c r="C51" s="13">
        <v>2</v>
      </c>
      <c r="D51" s="13" t="s">
        <v>1073</v>
      </c>
      <c r="E51" s="320" t="str">
        <f>TBPS[[#This Row],[Strand]]&amp;"-"&amp;TBPS[[#This Row],[QET]]&amp; "-" &amp;TBPS[[#This Row],[CO]]</f>
        <v>7.3-E-NCOI</v>
      </c>
      <c r="F51" s="16" t="s">
        <v>1810</v>
      </c>
      <c r="G51" s="16" t="s">
        <v>1811</v>
      </c>
      <c r="H51" s="16" t="s">
        <v>1812</v>
      </c>
      <c r="I51" s="16" t="s">
        <v>1826</v>
      </c>
      <c r="J51" s="28" t="s">
        <v>1354</v>
      </c>
    </row>
    <row r="52" spans="1:10" ht="60" x14ac:dyDescent="0.25">
      <c r="A52" s="22">
        <v>7.4</v>
      </c>
      <c r="B52" s="13" t="s">
        <v>750</v>
      </c>
      <c r="C52" s="13">
        <v>2</v>
      </c>
      <c r="D52" s="13" t="s">
        <v>1012</v>
      </c>
      <c r="E52" s="320" t="str">
        <f>TBPS[[#This Row],[Strand]]&amp;"-"&amp;TBPS[[#This Row],[QET]]&amp; "-" &amp;TBPS[[#This Row],[CO]]</f>
        <v>7.4-Q-NCOI</v>
      </c>
      <c r="F52" s="17" t="s">
        <v>1850</v>
      </c>
      <c r="G52" s="17" t="s">
        <v>1851</v>
      </c>
      <c r="H52" s="17" t="s">
        <v>1852</v>
      </c>
      <c r="I52" s="16" t="s">
        <v>1853</v>
      </c>
      <c r="J52" s="28" t="s">
        <v>1354</v>
      </c>
    </row>
    <row r="53" spans="1:10" ht="24" x14ac:dyDescent="0.25">
      <c r="A53" s="22">
        <v>7.4</v>
      </c>
      <c r="B53" s="13" t="s">
        <v>750</v>
      </c>
      <c r="C53" s="13">
        <v>2</v>
      </c>
      <c r="D53" s="13" t="s">
        <v>1073</v>
      </c>
      <c r="E53" s="320" t="str">
        <f>TBPS[[#This Row],[Strand]]&amp;"-"&amp;TBPS[[#This Row],[QET]]&amp; "-" &amp;TBPS[[#This Row],[CO]]</f>
        <v>7.4-E-NCOI</v>
      </c>
      <c r="F53" s="16" t="s">
        <v>1854</v>
      </c>
      <c r="G53" s="16" t="s">
        <v>1855</v>
      </c>
      <c r="H53" s="16" t="s">
        <v>1856</v>
      </c>
      <c r="I53" s="16" t="s">
        <v>1857</v>
      </c>
      <c r="J53" s="28" t="s">
        <v>1354</v>
      </c>
    </row>
    <row r="54" spans="1:10" ht="48" x14ac:dyDescent="0.25">
      <c r="A54" s="22">
        <v>7.5</v>
      </c>
      <c r="B54" s="13" t="s">
        <v>750</v>
      </c>
      <c r="C54" s="13">
        <v>3</v>
      </c>
      <c r="D54" s="13" t="s">
        <v>1012</v>
      </c>
      <c r="E54" s="320" t="str">
        <f>TBPS[[#This Row],[Strand]]&amp;"-"&amp;TBPS[[#This Row],[QET]]&amp; "-" &amp;TBPS[[#This Row],[CO]]</f>
        <v>7.5-Q-NCOI</v>
      </c>
      <c r="F54" s="17" t="s">
        <v>1858</v>
      </c>
      <c r="G54" s="17" t="s">
        <v>1859</v>
      </c>
      <c r="H54" s="17" t="s">
        <v>1860</v>
      </c>
      <c r="I54" s="17" t="s">
        <v>1861</v>
      </c>
      <c r="J54" s="29" t="s">
        <v>1862</v>
      </c>
    </row>
    <row r="55" spans="1:10" ht="60" x14ac:dyDescent="0.25">
      <c r="A55" s="400">
        <v>15</v>
      </c>
      <c r="B55" s="13" t="s">
        <v>750</v>
      </c>
      <c r="C55" s="13">
        <v>2</v>
      </c>
      <c r="D55" s="13" t="s">
        <v>1012</v>
      </c>
      <c r="E55" s="320" t="str">
        <f>TBPS[[#This Row],[Strand]]&amp;"-"&amp;TBPS[[#This Row],[QET]]&amp; "-" &amp;TBPS[[#This Row],[CO]]</f>
        <v>15-Q-NCOI</v>
      </c>
      <c r="F55" s="16" t="s">
        <v>1863</v>
      </c>
      <c r="G55" s="16" t="s">
        <v>1864</v>
      </c>
      <c r="H55" s="16" t="s">
        <v>1865</v>
      </c>
      <c r="I55" s="16" t="s">
        <v>1866</v>
      </c>
      <c r="J55" s="28" t="s">
        <v>1354</v>
      </c>
    </row>
    <row r="56" spans="1:10" ht="24" x14ac:dyDescent="0.25">
      <c r="A56" s="400">
        <v>15</v>
      </c>
      <c r="B56" s="13" t="s">
        <v>750</v>
      </c>
      <c r="C56" s="13">
        <v>2</v>
      </c>
      <c r="D56" s="13" t="s">
        <v>1073</v>
      </c>
      <c r="E56" s="320" t="str">
        <f>TBPS[[#This Row],[Strand]]&amp;"-"&amp;TBPS[[#This Row],[QET]]&amp; "-" &amp;TBPS[[#This Row],[CO]]</f>
        <v>15-E-NCOI</v>
      </c>
      <c r="F56" s="16" t="s">
        <v>1581</v>
      </c>
      <c r="G56" s="16" t="s">
        <v>1867</v>
      </c>
      <c r="H56" s="16" t="s">
        <v>1868</v>
      </c>
      <c r="I56" s="16" t="s">
        <v>1826</v>
      </c>
      <c r="J56" s="28" t="s">
        <v>1354</v>
      </c>
    </row>
    <row r="57" spans="1:10" ht="67.7" customHeight="1" x14ac:dyDescent="0.25">
      <c r="A57" s="401">
        <v>15</v>
      </c>
      <c r="B57" s="26" t="s">
        <v>750</v>
      </c>
      <c r="C57" s="26">
        <v>3</v>
      </c>
      <c r="D57" s="26" t="s">
        <v>1012</v>
      </c>
      <c r="E57" s="324" t="str">
        <f>TBPS[[#This Row],[Strand]]&amp;"-"&amp;TBPS[[#This Row],[QET]]&amp; "-" &amp;TBPS[[#This Row],[CO]]</f>
        <v>15-Q-NCOI</v>
      </c>
      <c r="F57" s="33" t="s">
        <v>1869</v>
      </c>
      <c r="G57" s="33" t="s">
        <v>1870</v>
      </c>
      <c r="H57" s="33" t="s">
        <v>1871</v>
      </c>
      <c r="I57" s="33" t="s">
        <v>1872</v>
      </c>
      <c r="J57" s="34" t="s">
        <v>1354</v>
      </c>
    </row>
    <row r="58" spans="1:10" x14ac:dyDescent="0.25">
      <c r="F58" s="3"/>
      <c r="G58" s="3"/>
      <c r="H58" s="3"/>
      <c r="I58" s="3"/>
      <c r="J58" s="3"/>
    </row>
  </sheetData>
  <sheetProtection algorithmName="SHA-512" hashValue="HAZxe8MCNICN327lPo4/bmHwdVwi830a9Vu7zmG2XoaHbsoR19fQ/UW60sGa9tMG4GDMgjid0161sUXSUDEN3g==" saltValue="VAIVJrQsV33c8sWbHNYbLg==" spinCount="100000" sheet="1" objects="1" scenarios="1" selectLockedCells="1" selectUnlockedCells="1"/>
  <pageMargins left="0.7" right="0.7" top="0.75" bottom="0.75" header="0.3" footer="0.3"/>
  <pageSetup orientation="portrait" r:id="rId1"/>
  <legacyDrawing r:id="rId2"/>
  <tableParts count="1">
    <tablePart r:id="rId3"/>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3AC41-F539-4EB7-9E38-4CCCE6C76A70}">
  <sheetPr codeName="TBHPI_Sheet"/>
  <dimension ref="A1:M39"/>
  <sheetViews>
    <sheetView zoomScaleNormal="100" workbookViewId="0">
      <pane ySplit="1" topLeftCell="A24" activePane="bottomLeft" state="frozen"/>
      <selection activeCell="B6" sqref="B6"/>
      <selection pane="bottomLeft" activeCell="B6" sqref="B6"/>
    </sheetView>
  </sheetViews>
  <sheetFormatPr defaultColWidth="8.85546875" defaultRowHeight="15" x14ac:dyDescent="0.25"/>
  <cols>
    <col min="1" max="1" width="11.7109375" style="6" customWidth="1"/>
    <col min="2" max="2" width="45.42578125" style="5" customWidth="1"/>
    <col min="3" max="3" width="16.42578125" style="6" customWidth="1"/>
    <col min="4" max="4" width="9.42578125" style="6" customWidth="1"/>
    <col min="5" max="5" width="5.140625" style="6" customWidth="1"/>
    <col min="6" max="6" width="8.85546875" style="5"/>
    <col min="7" max="7" width="8.85546875" style="6"/>
    <col min="8" max="8" width="8.85546875" style="205"/>
    <col min="9" max="9" width="8.85546875" style="6"/>
    <col min="10" max="16384" width="8.85546875" style="5"/>
  </cols>
  <sheetData>
    <row r="1" spans="1:13" s="1" customFormat="1" ht="45" x14ac:dyDescent="0.25">
      <c r="A1" s="20" t="s">
        <v>882</v>
      </c>
      <c r="B1" s="23" t="s">
        <v>883</v>
      </c>
      <c r="C1" s="23" t="s">
        <v>1261</v>
      </c>
      <c r="D1" s="23" t="s">
        <v>884</v>
      </c>
      <c r="E1" s="12" t="s">
        <v>885</v>
      </c>
      <c r="F1" s="12" t="s">
        <v>1269</v>
      </c>
      <c r="G1" s="12" t="s">
        <v>1270</v>
      </c>
      <c r="H1" s="204" t="s">
        <v>887</v>
      </c>
      <c r="I1" s="23" t="s">
        <v>1271</v>
      </c>
      <c r="J1" s="23" t="s">
        <v>82</v>
      </c>
      <c r="K1" s="23" t="s">
        <v>83</v>
      </c>
      <c r="L1" s="23" t="s">
        <v>84</v>
      </c>
      <c r="M1" s="23" t="s">
        <v>85</v>
      </c>
    </row>
    <row r="2" spans="1:13" ht="45" x14ac:dyDescent="0.25">
      <c r="A2" s="22">
        <v>1.1000000000000001</v>
      </c>
      <c r="B2" s="18" t="s">
        <v>1501</v>
      </c>
      <c r="C2" s="13">
        <v>1</v>
      </c>
      <c r="D2" s="320" t="str">
        <f>IFERROR(IF(AND(COUNTIF(TBHPS[helper],TBHPI[[#This Row],[Strand]]&amp;"-Q-COI")&gt;0,COUNTIF(TBHPS[helper],TBHPI[[#This Row],[Strand]]&amp;"-Q-NCOI")&gt;0),"COI/NCOI",IF(COUNTIF(TBHPS[helper],TBHPI[[#This Row],[Strand]]&amp;"-Q-COI")&gt;0,"COI",IF(COUNTIF(TBHPS[helper],TBHPI[[#This Row],[Strand]]&amp;"-Q-NCOI")&gt;0,"NCOI",""))),"")</f>
        <v>COI</v>
      </c>
      <c r="E2" s="13">
        <v>2</v>
      </c>
      <c r="F2" s="327" t="b">
        <f>VLOOKUP(TBHPI[[#This Row],[Strand]],indSelect_TBHP,7,FALSE)</f>
        <v>0</v>
      </c>
      <c r="G2" s="320" t="str">
        <f>IF(AND(career_stage="HP",teacher_type="TB",TBHPI[[#This Row],[CO]]="COI/NCOI",TBHPI[[#This Row],[Selected]]),VLOOKUP(TBHPI[[#This Row],[Strand]],coi_ncoi_select,COLUMNS(coi_ncoi_select),FALSE),TBHPI[[#This Row],[CO]])</f>
        <v>COI</v>
      </c>
      <c r="H2" s="323">
        <f>VLOOKUP(TBHPI[[#This Row],[Strand]],indSelect_TBHP,6,FALSE)</f>
        <v>0</v>
      </c>
      <c r="I2" s="320" t="str">
        <f>IFERROR(IF(AND(TBHPI[[#This Row],[Selected]],TBHPI[[#This Row],[CO]]="COI/NCOI"),VLOOKUP(TBHPI[[#This Row],[Strand]],indSelect_TBHP,9,FALSE),TBHPI[[#This Row],[CO]]),TBHPI[[#This Row],[CO]])</f>
        <v>COI</v>
      </c>
      <c r="J2" s="327" t="b">
        <f>IF(AND(required_cot&gt;=1,TBHPI[[#This Row],[Selected]]),VLOOKUP(TBHPI[[#This Row],[Strand]],indSelect_TBHP,10,FALSE)=1,FALSE)</f>
        <v>0</v>
      </c>
      <c r="K2" s="327" t="b">
        <f>IF(AND(required_cot&gt;=2,TBHPI[[#This Row],[Selected]]),VLOOKUP(TBHPI[[#This Row],[Strand]],indSelect_TBHP,11,FALSE)=1,FALSE)</f>
        <v>0</v>
      </c>
      <c r="L2" s="327" t="b">
        <f>IF(AND(required_cot&gt;=3,TBHPI[[#This Row],[Selected]]),VLOOKUP(TBHPI[[#This Row],[Strand]],indSelect_TBHP,12,FALSE)=1,FALSE)</f>
        <v>0</v>
      </c>
      <c r="M2" s="327" t="b">
        <f>IF(AND(required_cot&gt;=4,TBHPI[[#This Row],[Selected]]),VLOOKUP(TBHPI[[#This Row],[Strand]],indSelect_TBHP,13,FALSE)=1,FALSE)</f>
        <v>0</v>
      </c>
    </row>
    <row r="3" spans="1:13" ht="45" x14ac:dyDescent="0.25">
      <c r="A3" s="22">
        <v>1.2</v>
      </c>
      <c r="B3" s="18" t="s">
        <v>1503</v>
      </c>
      <c r="C3" s="13">
        <v>1</v>
      </c>
      <c r="D3" s="331" t="str">
        <f>IFERROR(IF(AND(COUNTIF(TBHPS[helper],TBHPI[[#This Row],[Strand]]&amp;"-Q-COI")&gt;0,COUNTIF(TBHPS[helper],TBHPI[[#This Row],[Strand]]&amp;"-Q-NCOI")&gt;0),"COI/NCOI",IF(COUNTIF(TBHPS[helper],TBHPI[[#This Row],[Strand]]&amp;"-Q-COI")&gt;0,"COI",IF(COUNTIF(TBHPS[helper],TBHPI[[#This Row],[Strand]]&amp;"-Q-NCOI")&gt;0,"NCOI",""))),"")</f>
        <v>NCOI</v>
      </c>
      <c r="E3" s="36">
        <v>1</v>
      </c>
      <c r="F3" s="327" t="b">
        <f>VLOOKUP(TBHPI[[#This Row],[Strand]],indSelect_TBHP,7,FALSE)</f>
        <v>0</v>
      </c>
      <c r="G3" s="320" t="str">
        <f>IF(AND(career_stage="HP",teacher_type="TB",TBHPI[[#This Row],[CO]]="COI/NCOI",TBHPI[[#This Row],[Selected]]),VLOOKUP(TBHPI[[#This Row],[Strand]],coi_ncoi_select,COLUMNS(coi_ncoi_select),FALSE),TBHPI[[#This Row],[CO]])</f>
        <v>NCOI</v>
      </c>
      <c r="H3" s="323">
        <f>VLOOKUP(TBHPI[[#This Row],[Strand]],indSelect_TBHP,6,FALSE)</f>
        <v>0</v>
      </c>
      <c r="I3" s="320" t="str">
        <f>IFERROR(IF(AND(TBHPI[[#This Row],[Selected]],TBHPI[[#This Row],[CO]]="COI/NCOI"),VLOOKUP(TBHPI[[#This Row],[Strand]],indSelect_TBHP,9,FALSE),TBHPI[[#This Row],[CO]]),TBHPI[[#This Row],[CO]])</f>
        <v>NCOI</v>
      </c>
      <c r="J3" s="327" t="b">
        <f>IF(AND(required_cot&gt;=1,TBHPI[[#This Row],[Selected]]),VLOOKUP(TBHPI[[#This Row],[Strand]],indSelect_TBHP,10,FALSE)=1,FALSE)</f>
        <v>0</v>
      </c>
      <c r="K3" s="327" t="b">
        <f>IF(AND(required_cot&gt;=2,TBHPI[[#This Row],[Selected]]),VLOOKUP(TBHPI[[#This Row],[Strand]],indSelect_TBHP,11,FALSE)=1,FALSE)</f>
        <v>0</v>
      </c>
      <c r="L3" s="327" t="b">
        <f>IF(AND(required_cot&gt;=3,TBHPI[[#This Row],[Selected]]),VLOOKUP(TBHPI[[#This Row],[Strand]],indSelect_TBHP,12,FALSE)=1,FALSE)</f>
        <v>0</v>
      </c>
      <c r="M3" s="327" t="b">
        <f>IF(AND(required_cot&gt;=4,TBHPI[[#This Row],[Selected]]),VLOOKUP(TBHPI[[#This Row],[Strand]],indSelect_TBHP,13,FALSE)=1,FALSE)</f>
        <v>0</v>
      </c>
    </row>
    <row r="4" spans="1:13" ht="45" x14ac:dyDescent="0.25">
      <c r="A4" s="22">
        <v>1.3</v>
      </c>
      <c r="B4" s="19" t="s">
        <v>1505</v>
      </c>
      <c r="C4" s="13">
        <v>1</v>
      </c>
      <c r="D4" s="320" t="str">
        <f>IFERROR(IF(AND(COUNTIF(TBHPS[helper],TBHPI[[#This Row],[Strand]]&amp;"-Q-COI")&gt;0,COUNTIF(TBHPS[helper],TBHPI[[#This Row],[Strand]]&amp;"-Q-NCOI")&gt;0),"COI/NCOI",IF(COUNTIF(TBHPS[helper],TBHPI[[#This Row],[Strand]]&amp;"-Q-COI")&gt;0,"COI",IF(COUNTIF(TBHPS[helper],TBHPI[[#This Row],[Strand]]&amp;"-Q-NCOI")&gt;0,"NCOI",""))),"")</f>
        <v>NCOI</v>
      </c>
      <c r="E4" s="13">
        <v>2</v>
      </c>
      <c r="F4" s="327" t="b">
        <f>VLOOKUP(TBHPI[[#This Row],[Strand]],indSelect_TBHP,7,FALSE)</f>
        <v>0</v>
      </c>
      <c r="G4" s="320" t="str">
        <f>IF(AND(career_stage="HP",teacher_type="TB",TBHPI[[#This Row],[CO]]="COI/NCOI",TBHPI[[#This Row],[Selected]]),VLOOKUP(TBHPI[[#This Row],[Strand]],coi_ncoi_select,COLUMNS(coi_ncoi_select),FALSE),TBHPI[[#This Row],[CO]])</f>
        <v>NCOI</v>
      </c>
      <c r="H4" s="323">
        <f>VLOOKUP(TBHPI[[#This Row],[Strand]],indSelect_TBHP,6,FALSE)</f>
        <v>0</v>
      </c>
      <c r="I4" s="320" t="str">
        <f>IFERROR(IF(AND(TBHPI[[#This Row],[Selected]],TBHPI[[#This Row],[CO]]="COI/NCOI"),VLOOKUP(TBHPI[[#This Row],[Strand]],indSelect_TBHP,9,FALSE),TBHPI[[#This Row],[CO]]),TBHPI[[#This Row],[CO]])</f>
        <v>NCOI</v>
      </c>
      <c r="J4" s="327" t="b">
        <f>IF(AND(required_cot&gt;=1,TBHPI[[#This Row],[Selected]]),VLOOKUP(TBHPI[[#This Row],[Strand]],indSelect_TBHP,10,FALSE)=1,FALSE)</f>
        <v>0</v>
      </c>
      <c r="K4" s="327" t="b">
        <f>IF(AND(required_cot&gt;=2,TBHPI[[#This Row],[Selected]]),VLOOKUP(TBHPI[[#This Row],[Strand]],indSelect_TBHP,11,FALSE)=1,FALSE)</f>
        <v>0</v>
      </c>
      <c r="L4" s="327" t="b">
        <f>IF(AND(required_cot&gt;=3,TBHPI[[#This Row],[Selected]]),VLOOKUP(TBHPI[[#This Row],[Strand]],indSelect_TBHP,12,FALSE)=1,FALSE)</f>
        <v>0</v>
      </c>
      <c r="M4" s="327" t="b">
        <f>IF(AND(required_cot&gt;=4,TBHPI[[#This Row],[Selected]]),VLOOKUP(TBHPI[[#This Row],[Strand]],indSelect_TBHP,13,FALSE)=1,FALSE)</f>
        <v>0</v>
      </c>
    </row>
    <row r="5" spans="1:13" s="2" customFormat="1" ht="45" x14ac:dyDescent="0.25">
      <c r="A5" s="22">
        <v>1.4</v>
      </c>
      <c r="B5" s="19" t="s">
        <v>1507</v>
      </c>
      <c r="C5" s="13">
        <v>1</v>
      </c>
      <c r="D5" s="320" t="str">
        <f>IFERROR(IF(AND(COUNTIF(TBHPS[helper],TBHPI[[#This Row],[Strand]]&amp;"-Q-COI")&gt;0,COUNTIF(TBHPS[helper],TBHPI[[#This Row],[Strand]]&amp;"-Q-NCOI")&gt;0),"COI/NCOI",IF(COUNTIF(TBHPS[helper],TBHPI[[#This Row],[Strand]]&amp;"-Q-COI")&gt;0,"COI",IF(COUNTIF(TBHPS[helper],TBHPI[[#This Row],[Strand]]&amp;"-Q-NCOI")&gt;0,"NCOI",""))),"")</f>
        <v>COI</v>
      </c>
      <c r="E5" s="13">
        <v>3</v>
      </c>
      <c r="F5" s="327" t="b">
        <f>VLOOKUP(TBHPI[[#This Row],[Strand]],indSelect_TBHP,7,FALSE)</f>
        <v>0</v>
      </c>
      <c r="G5" s="320" t="str">
        <f>IF(AND(career_stage="HP",teacher_type="TB",TBHPI[[#This Row],[CO]]="COI/NCOI",TBHPI[[#This Row],[Selected]]),VLOOKUP(TBHPI[[#This Row],[Strand]],coi_ncoi_select,COLUMNS(coi_ncoi_select),FALSE),TBHPI[[#This Row],[CO]])</f>
        <v>COI</v>
      </c>
      <c r="H5" s="323">
        <f>VLOOKUP(TBHPI[[#This Row],[Strand]],indSelect_TBHP,6,FALSE)</f>
        <v>0</v>
      </c>
      <c r="I5" s="320" t="str">
        <f>IFERROR(IF(AND(TBHPI[[#This Row],[Selected]],TBHPI[[#This Row],[CO]]="COI/NCOI"),VLOOKUP(TBHPI[[#This Row],[Strand]],indSelect_TBHP,9,FALSE),TBHPI[[#This Row],[CO]]),TBHPI[[#This Row],[CO]])</f>
        <v>COI</v>
      </c>
      <c r="J5" s="327" t="b">
        <f>IF(AND(required_cot&gt;=1,TBHPI[[#This Row],[Selected]]),VLOOKUP(TBHPI[[#This Row],[Strand]],indSelect_TBHP,10,FALSE)=1,FALSE)</f>
        <v>0</v>
      </c>
      <c r="K5" s="327" t="b">
        <f>IF(AND(required_cot&gt;=2,TBHPI[[#This Row],[Selected]]),VLOOKUP(TBHPI[[#This Row],[Strand]],indSelect_TBHP,11,FALSE)=1,FALSE)</f>
        <v>0</v>
      </c>
      <c r="L5" s="327" t="b">
        <f>IF(AND(required_cot&gt;=3,TBHPI[[#This Row],[Selected]]),VLOOKUP(TBHPI[[#This Row],[Strand]],indSelect_TBHP,12,FALSE)=1,FALSE)</f>
        <v>0</v>
      </c>
      <c r="M5" s="327" t="b">
        <f>IF(AND(required_cot&gt;=4,TBHPI[[#This Row],[Selected]]),VLOOKUP(TBHPI[[#This Row],[Strand]],indSelect_TBHP,13,FALSE)=1,FALSE)</f>
        <v>0</v>
      </c>
    </row>
    <row r="6" spans="1:13" ht="81" customHeight="1" x14ac:dyDescent="0.25">
      <c r="A6" s="22">
        <v>1.5</v>
      </c>
      <c r="B6" s="18" t="s">
        <v>1509</v>
      </c>
      <c r="C6" s="13">
        <v>1</v>
      </c>
      <c r="D6" s="320" t="str">
        <f>IFERROR(IF(AND(COUNTIF(TBHPS[helper],TBHPI[[#This Row],[Strand]]&amp;"-Q-COI")&gt;0,COUNTIF(TBHPS[helper],TBHPI[[#This Row],[Strand]]&amp;"-Q-NCOI")&gt;0),"COI/NCOI",IF(COUNTIF(TBHPS[helper],TBHPI[[#This Row],[Strand]]&amp;"-Q-COI")&gt;0,"COI",IF(COUNTIF(TBHPS[helper],TBHPI[[#This Row],[Strand]]&amp;"-Q-NCOI")&gt;0,"NCOI",""))),"")</f>
        <v>COI</v>
      </c>
      <c r="E6" s="13">
        <v>2</v>
      </c>
      <c r="F6" s="327" t="b">
        <f>VLOOKUP(TBHPI[[#This Row],[Strand]],indSelect_TBHP,7,FALSE)</f>
        <v>0</v>
      </c>
      <c r="G6" s="320" t="str">
        <f>IF(AND(career_stage="HP",teacher_type="TB",TBHPI[[#This Row],[CO]]="COI/NCOI",TBHPI[[#This Row],[Selected]]),VLOOKUP(TBHPI[[#This Row],[Strand]],coi_ncoi_select,COLUMNS(coi_ncoi_select),FALSE),TBHPI[[#This Row],[CO]])</f>
        <v>COI</v>
      </c>
      <c r="H6" s="323">
        <f>VLOOKUP(TBHPI[[#This Row],[Strand]],indSelect_TBHP,6,FALSE)</f>
        <v>0</v>
      </c>
      <c r="I6" s="320" t="str">
        <f>IFERROR(IF(AND(TBHPI[[#This Row],[Selected]],TBHPI[[#This Row],[CO]]="COI/NCOI"),VLOOKUP(TBHPI[[#This Row],[Strand]],indSelect_TBHP,9,FALSE),TBHPI[[#This Row],[CO]]),TBHPI[[#This Row],[CO]])</f>
        <v>COI</v>
      </c>
      <c r="J6" s="327" t="b">
        <f>IF(AND(required_cot&gt;=1,TBHPI[[#This Row],[Selected]]),VLOOKUP(TBHPI[[#This Row],[Strand]],indSelect_TBHP,10,FALSE)=1,FALSE)</f>
        <v>0</v>
      </c>
      <c r="K6" s="327" t="b">
        <f>IF(AND(required_cot&gt;=2,TBHPI[[#This Row],[Selected]]),VLOOKUP(TBHPI[[#This Row],[Strand]],indSelect_TBHP,11,FALSE)=1,FALSE)</f>
        <v>0</v>
      </c>
      <c r="L6" s="327" t="b">
        <f>IF(AND(required_cot&gt;=3,TBHPI[[#This Row],[Selected]]),VLOOKUP(TBHPI[[#This Row],[Strand]],indSelect_TBHP,12,FALSE)=1,FALSE)</f>
        <v>0</v>
      </c>
      <c r="M6" s="327" t="b">
        <f>IF(AND(required_cot&gt;=4,TBHPI[[#This Row],[Selected]]),VLOOKUP(TBHPI[[#This Row],[Strand]],indSelect_TBHP,13,FALSE)=1,FALSE)</f>
        <v>0</v>
      </c>
    </row>
    <row r="7" spans="1:13" ht="73.7" customHeight="1" x14ac:dyDescent="0.25">
      <c r="A7" s="22">
        <v>1.6</v>
      </c>
      <c r="B7" s="19" t="s">
        <v>1511</v>
      </c>
      <c r="C7" s="13">
        <v>1</v>
      </c>
      <c r="D7" s="320" t="str">
        <f>IFERROR(IF(AND(COUNTIF(TBHPS[helper],TBHPI[[#This Row],[Strand]]&amp;"-Q-COI")&gt;0,COUNTIF(TBHPS[helper],TBHPI[[#This Row],[Strand]]&amp;"-Q-NCOI")&gt;0),"COI/NCOI",IF(COUNTIF(TBHPS[helper],TBHPI[[#This Row],[Strand]]&amp;"-Q-COI")&gt;0,"COI",IF(COUNTIF(TBHPS[helper],TBHPI[[#This Row],[Strand]]&amp;"-Q-NCOI")&gt;0,"NCOI",""))),"")</f>
        <v>COI</v>
      </c>
      <c r="E7" s="13">
        <v>3</v>
      </c>
      <c r="F7" s="327" t="b">
        <f>VLOOKUP(TBHPI[[#This Row],[Strand]],indSelect_TBHP,7,FALSE)</f>
        <v>0</v>
      </c>
      <c r="G7" s="320" t="str">
        <f>IF(AND(career_stage="HP",teacher_type="TB",TBHPI[[#This Row],[CO]]="COI/NCOI",TBHPI[[#This Row],[Selected]]),VLOOKUP(TBHPI[[#This Row],[Strand]],coi_ncoi_select,COLUMNS(coi_ncoi_select),FALSE),TBHPI[[#This Row],[CO]])</f>
        <v>COI</v>
      </c>
      <c r="H7" s="323">
        <f>VLOOKUP(TBHPI[[#This Row],[Strand]],indSelect_TBHP,6,FALSE)</f>
        <v>0</v>
      </c>
      <c r="I7" s="320" t="str">
        <f>IFERROR(IF(AND(TBHPI[[#This Row],[Selected]],TBHPI[[#This Row],[CO]]="COI/NCOI"),VLOOKUP(TBHPI[[#This Row],[Strand]],indSelect_TBHP,9,FALSE),TBHPI[[#This Row],[CO]]),TBHPI[[#This Row],[CO]])</f>
        <v>COI</v>
      </c>
      <c r="J7" s="327" t="b">
        <f>IF(AND(required_cot&gt;=1,TBHPI[[#This Row],[Selected]]),VLOOKUP(TBHPI[[#This Row],[Strand]],indSelect_TBHP,10,FALSE)=1,FALSE)</f>
        <v>0</v>
      </c>
      <c r="K7" s="327" t="b">
        <f>IF(AND(required_cot&gt;=2,TBHPI[[#This Row],[Selected]]),VLOOKUP(TBHPI[[#This Row],[Strand]],indSelect_TBHP,11,FALSE)=1,FALSE)</f>
        <v>0</v>
      </c>
      <c r="L7" s="327" t="b">
        <f>IF(AND(required_cot&gt;=3,TBHPI[[#This Row],[Selected]]),VLOOKUP(TBHPI[[#This Row],[Strand]],indSelect_TBHP,12,FALSE)=1,FALSE)</f>
        <v>0</v>
      </c>
      <c r="M7" s="327" t="b">
        <f>IF(AND(required_cot&gt;=4,TBHPI[[#This Row],[Selected]]),VLOOKUP(TBHPI[[#This Row],[Strand]],indSelect_TBHP,13,FALSE)=1,FALSE)</f>
        <v>0</v>
      </c>
    </row>
    <row r="8" spans="1:13" ht="60" x14ac:dyDescent="0.25">
      <c r="A8" s="22">
        <v>1.7</v>
      </c>
      <c r="B8" s="19" t="s">
        <v>1513</v>
      </c>
      <c r="C8" s="13">
        <v>1</v>
      </c>
      <c r="D8" s="320" t="str">
        <f>IFERROR(IF(AND(COUNTIF(TBHPS[helper],TBHPI[[#This Row],[Strand]]&amp;"-Q-COI")&gt;0,COUNTIF(TBHPS[helper],TBHPI[[#This Row],[Strand]]&amp;"-Q-NCOI")&gt;0),"COI/NCOI",IF(COUNTIF(TBHPS[helper],TBHPI[[#This Row],[Strand]]&amp;"-Q-COI")&gt;0,"COI",IF(COUNTIF(TBHPS[helper],TBHPI[[#This Row],[Strand]]&amp;"-Q-NCOI")&gt;0,"NCOI",""))),"")</f>
        <v>COI</v>
      </c>
      <c r="E8" s="13">
        <v>3</v>
      </c>
      <c r="F8" s="327" t="b">
        <f>VLOOKUP(TBHPI[[#This Row],[Strand]],indSelect_TBHP,7,FALSE)</f>
        <v>0</v>
      </c>
      <c r="G8" s="320" t="str">
        <f>IF(AND(career_stage="HP",teacher_type="TB",TBHPI[[#This Row],[CO]]="COI/NCOI",TBHPI[[#This Row],[Selected]]),VLOOKUP(TBHPI[[#This Row],[Strand]],coi_ncoi_select,COLUMNS(coi_ncoi_select),FALSE),TBHPI[[#This Row],[CO]])</f>
        <v>COI</v>
      </c>
      <c r="H8" s="323">
        <f>VLOOKUP(TBHPI[[#This Row],[Strand]],indSelect_TBHP,6,FALSE)</f>
        <v>0</v>
      </c>
      <c r="I8" s="320" t="str">
        <f>IFERROR(IF(AND(TBHPI[[#This Row],[Selected]],TBHPI[[#This Row],[CO]]="COI/NCOI"),VLOOKUP(TBHPI[[#This Row],[Strand]],indSelect_TBHP,9,FALSE),TBHPI[[#This Row],[CO]]),TBHPI[[#This Row],[CO]])</f>
        <v>COI</v>
      </c>
      <c r="J8" s="327" t="b">
        <f>IF(AND(required_cot&gt;=1,TBHPI[[#This Row],[Selected]]),VLOOKUP(TBHPI[[#This Row],[Strand]],indSelect_TBHP,10,FALSE)=1,FALSE)</f>
        <v>0</v>
      </c>
      <c r="K8" s="327" t="b">
        <f>IF(AND(required_cot&gt;=2,TBHPI[[#This Row],[Selected]]),VLOOKUP(TBHPI[[#This Row],[Strand]],indSelect_TBHP,11,FALSE)=1,FALSE)</f>
        <v>0</v>
      </c>
      <c r="L8" s="327" t="b">
        <f>IF(AND(required_cot&gt;=3,TBHPI[[#This Row],[Selected]]),VLOOKUP(TBHPI[[#This Row],[Strand]],indSelect_TBHP,12,FALSE)=1,FALSE)</f>
        <v>0</v>
      </c>
      <c r="M8" s="327" t="b">
        <f>IF(AND(required_cot&gt;=4,TBHPI[[#This Row],[Selected]]),VLOOKUP(TBHPI[[#This Row],[Strand]],indSelect_TBHP,13,FALSE)=1,FALSE)</f>
        <v>0</v>
      </c>
    </row>
    <row r="9" spans="1:13" ht="60" x14ac:dyDescent="0.25">
      <c r="A9" s="22">
        <v>2.1</v>
      </c>
      <c r="B9" s="19" t="s">
        <v>1515</v>
      </c>
      <c r="C9" s="13">
        <v>2</v>
      </c>
      <c r="D9" s="320" t="str">
        <f>IFERROR(IF(AND(COUNTIF(TBHPS[helper],TBHPI[[#This Row],[Strand]]&amp;"-Q-COI")&gt;0,COUNTIF(TBHPS[helper],TBHPI[[#This Row],[Strand]]&amp;"-Q-NCOI")&gt;0),"COI/NCOI",IF(COUNTIF(TBHPS[helper],TBHPI[[#This Row],[Strand]]&amp;"-Q-COI")&gt;0,"COI",IF(COUNTIF(TBHPS[helper],TBHPI[[#This Row],[Strand]]&amp;"-Q-NCOI")&gt;0,"NCOI",""))),"")</f>
        <v>COI</v>
      </c>
      <c r="E9" s="13">
        <v>3</v>
      </c>
      <c r="F9" s="327" t="b">
        <f>VLOOKUP(TBHPI[[#This Row],[Strand]],indSelect_TBHP,7,FALSE)</f>
        <v>0</v>
      </c>
      <c r="G9" s="320" t="str">
        <f>IF(AND(career_stage="HP",teacher_type="TB",TBHPI[[#This Row],[CO]]="COI/NCOI",TBHPI[[#This Row],[Selected]]),VLOOKUP(TBHPI[[#This Row],[Strand]],coi_ncoi_select,COLUMNS(coi_ncoi_select),FALSE),TBHPI[[#This Row],[CO]])</f>
        <v>COI</v>
      </c>
      <c r="H9" s="323">
        <f>VLOOKUP(TBHPI[[#This Row],[Strand]],indSelect_TBHP,6,FALSE)</f>
        <v>0</v>
      </c>
      <c r="I9" s="320" t="str">
        <f>IFERROR(IF(AND(TBHPI[[#This Row],[Selected]],TBHPI[[#This Row],[CO]]="COI/NCOI"),VLOOKUP(TBHPI[[#This Row],[Strand]],indSelect_TBHP,9,FALSE),TBHPI[[#This Row],[CO]]),TBHPI[[#This Row],[CO]])</f>
        <v>COI</v>
      </c>
      <c r="J9" s="327" t="b">
        <f>IF(AND(required_cot&gt;=1,TBHPI[[#This Row],[Selected]]),VLOOKUP(TBHPI[[#This Row],[Strand]],indSelect_TBHP,10,FALSE)=1,FALSE)</f>
        <v>0</v>
      </c>
      <c r="K9" s="327" t="b">
        <f>IF(AND(required_cot&gt;=2,TBHPI[[#This Row],[Selected]]),VLOOKUP(TBHPI[[#This Row],[Strand]],indSelect_TBHP,11,FALSE)=1,FALSE)</f>
        <v>0</v>
      </c>
      <c r="L9" s="327" t="b">
        <f>IF(AND(required_cot&gt;=3,TBHPI[[#This Row],[Selected]]),VLOOKUP(TBHPI[[#This Row],[Strand]],indSelect_TBHP,12,FALSE)=1,FALSE)</f>
        <v>0</v>
      </c>
      <c r="M9" s="327" t="b">
        <f>IF(AND(required_cot&gt;=4,TBHPI[[#This Row],[Selected]]),VLOOKUP(TBHPI[[#This Row],[Strand]],indSelect_TBHP,13,FALSE)=1,FALSE)</f>
        <v>0</v>
      </c>
    </row>
    <row r="10" spans="1:13" ht="45" x14ac:dyDescent="0.25">
      <c r="A10" s="22">
        <v>2.2000000000000002</v>
      </c>
      <c r="B10" s="19" t="s">
        <v>1517</v>
      </c>
      <c r="C10" s="13">
        <v>2</v>
      </c>
      <c r="D10" s="320" t="str">
        <f>IFERROR(IF(AND(COUNTIF(TBHPS[helper],TBHPI[[#This Row],[Strand]]&amp;"-Q-COI")&gt;0,COUNTIF(TBHPS[helper],TBHPI[[#This Row],[Strand]]&amp;"-Q-NCOI")&gt;0),"COI/NCOI",IF(COUNTIF(TBHPS[helper],TBHPI[[#This Row],[Strand]]&amp;"-Q-COI")&gt;0,"COI",IF(COUNTIF(TBHPS[helper],TBHPI[[#This Row],[Strand]]&amp;"-Q-NCOI")&gt;0,"NCOI",""))),"")</f>
        <v>COI</v>
      </c>
      <c r="E10" s="13">
        <v>3</v>
      </c>
      <c r="F10" s="327" t="b">
        <f>VLOOKUP(TBHPI[[#This Row],[Strand]],indSelect_TBHP,7,FALSE)</f>
        <v>0</v>
      </c>
      <c r="G10" s="320" t="str">
        <f>IF(AND(career_stage="HP",teacher_type="TB",TBHPI[[#This Row],[CO]]="COI/NCOI",TBHPI[[#This Row],[Selected]]),VLOOKUP(TBHPI[[#This Row],[Strand]],coi_ncoi_select,COLUMNS(coi_ncoi_select),FALSE),TBHPI[[#This Row],[CO]])</f>
        <v>COI</v>
      </c>
      <c r="H10" s="323">
        <f>VLOOKUP(TBHPI[[#This Row],[Strand]],indSelect_TBHP,6,FALSE)</f>
        <v>0</v>
      </c>
      <c r="I10" s="320" t="str">
        <f>IFERROR(IF(AND(TBHPI[[#This Row],[Selected]],TBHPI[[#This Row],[CO]]="COI/NCOI"),VLOOKUP(TBHPI[[#This Row],[Strand]],indSelect_TBHP,9,FALSE),TBHPI[[#This Row],[CO]]),TBHPI[[#This Row],[CO]])</f>
        <v>COI</v>
      </c>
      <c r="J10" s="327" t="b">
        <f>IF(AND(required_cot&gt;=1,TBHPI[[#This Row],[Selected]]),VLOOKUP(TBHPI[[#This Row],[Strand]],indSelect_TBHP,10,FALSE)=1,FALSE)</f>
        <v>0</v>
      </c>
      <c r="K10" s="327" t="b">
        <f>IF(AND(required_cot&gt;=2,TBHPI[[#This Row],[Selected]]),VLOOKUP(TBHPI[[#This Row],[Strand]],indSelect_TBHP,11,FALSE)=1,FALSE)</f>
        <v>0</v>
      </c>
      <c r="L10" s="327" t="b">
        <f>IF(AND(required_cot&gt;=3,TBHPI[[#This Row],[Selected]]),VLOOKUP(TBHPI[[#This Row],[Strand]],indSelect_TBHP,12,FALSE)=1,FALSE)</f>
        <v>0</v>
      </c>
      <c r="M10" s="327" t="b">
        <f>IF(AND(required_cot&gt;=4,TBHPI[[#This Row],[Selected]]),VLOOKUP(TBHPI[[#This Row],[Strand]],indSelect_TBHP,13,FALSE)=1,FALSE)</f>
        <v>0</v>
      </c>
    </row>
    <row r="11" spans="1:13" ht="90" x14ac:dyDescent="0.25">
      <c r="A11" s="22">
        <v>2.2999999999999998</v>
      </c>
      <c r="B11" s="18" t="s">
        <v>1519</v>
      </c>
      <c r="C11" s="13">
        <v>2</v>
      </c>
      <c r="D11" s="331" t="str">
        <f>IFERROR(IF(AND(COUNTIF(TBHPS[helper],TBHPI[[#This Row],[Strand]]&amp;"-Q-COI")&gt;0,COUNTIF(TBHPS[helper],TBHPI[[#This Row],[Strand]]&amp;"-Q-NCOI")&gt;0),"COI/NCOI",IF(COUNTIF(TBHPS[helper],TBHPI[[#This Row],[Strand]]&amp;"-Q-COI")&gt;0,"COI",IF(COUNTIF(TBHPS[helper],TBHPI[[#This Row],[Strand]]&amp;"-Q-NCOI")&gt;0,"NCOI",""))),"")</f>
        <v>COI</v>
      </c>
      <c r="E11" s="36">
        <v>1</v>
      </c>
      <c r="F11" s="327" t="b">
        <f>VLOOKUP(TBHPI[[#This Row],[Strand]],indSelect_TBHP,7,FALSE)</f>
        <v>0</v>
      </c>
      <c r="G11" s="320" t="str">
        <f>IF(AND(career_stage="HP",teacher_type="TB",TBHPI[[#This Row],[CO]]="COI/NCOI",TBHPI[[#This Row],[Selected]]),VLOOKUP(TBHPI[[#This Row],[Strand]],coi_ncoi_select,COLUMNS(coi_ncoi_select),FALSE),TBHPI[[#This Row],[CO]])</f>
        <v>COI</v>
      </c>
      <c r="H11" s="323">
        <f>VLOOKUP(TBHPI[[#This Row],[Strand]],indSelect_TBHP,6,FALSE)</f>
        <v>0</v>
      </c>
      <c r="I11" s="320" t="str">
        <f>IFERROR(IF(AND(TBHPI[[#This Row],[Selected]],TBHPI[[#This Row],[CO]]="COI/NCOI"),VLOOKUP(TBHPI[[#This Row],[Strand]],indSelect_TBHP,9,FALSE),TBHPI[[#This Row],[CO]]),TBHPI[[#This Row],[CO]])</f>
        <v>COI</v>
      </c>
      <c r="J11" s="327" t="b">
        <f>IF(AND(required_cot&gt;=1,TBHPI[[#This Row],[Selected]]),VLOOKUP(TBHPI[[#This Row],[Strand]],indSelect_TBHP,10,FALSE)=1,FALSE)</f>
        <v>0</v>
      </c>
      <c r="K11" s="327" t="b">
        <f>IF(AND(required_cot&gt;=2,TBHPI[[#This Row],[Selected]]),VLOOKUP(TBHPI[[#This Row],[Strand]],indSelect_TBHP,11,FALSE)=1,FALSE)</f>
        <v>0</v>
      </c>
      <c r="L11" s="327" t="b">
        <f>IF(AND(required_cot&gt;=3,TBHPI[[#This Row],[Selected]]),VLOOKUP(TBHPI[[#This Row],[Strand]],indSelect_TBHP,12,FALSE)=1,FALSE)</f>
        <v>0</v>
      </c>
      <c r="M11" s="327" t="b">
        <f>IF(AND(required_cot&gt;=4,TBHPI[[#This Row],[Selected]]),VLOOKUP(TBHPI[[#This Row],[Strand]],indSelect_TBHP,13,FALSE)=1,FALSE)</f>
        <v>0</v>
      </c>
    </row>
    <row r="12" spans="1:13" ht="74.45" customHeight="1" x14ac:dyDescent="0.25">
      <c r="A12" s="22">
        <v>2.4</v>
      </c>
      <c r="B12" s="19" t="s">
        <v>1521</v>
      </c>
      <c r="C12" s="13">
        <v>2</v>
      </c>
      <c r="D12" s="320" t="str">
        <f>IFERROR(IF(AND(COUNTIF(TBHPS[helper],TBHPI[[#This Row],[Strand]]&amp;"-Q-COI")&gt;0,COUNTIF(TBHPS[helper],TBHPI[[#This Row],[Strand]]&amp;"-Q-NCOI")&gt;0),"COI/NCOI",IF(COUNTIF(TBHPS[helper],TBHPI[[#This Row],[Strand]]&amp;"-Q-COI")&gt;0,"COI",IF(COUNTIF(TBHPS[helper],TBHPI[[#This Row],[Strand]]&amp;"-Q-NCOI")&gt;0,"NCOI",""))),"")</f>
        <v>NCOI</v>
      </c>
      <c r="E12" s="13">
        <v>3</v>
      </c>
      <c r="F12" s="327" t="b">
        <f>VLOOKUP(TBHPI[[#This Row],[Strand]],indSelect_TBHP,7,FALSE)</f>
        <v>0</v>
      </c>
      <c r="G12" s="320" t="str">
        <f>IF(AND(career_stage="HP",teacher_type="TB",TBHPI[[#This Row],[CO]]="COI/NCOI",TBHPI[[#This Row],[Selected]]),VLOOKUP(TBHPI[[#This Row],[Strand]],coi_ncoi_select,COLUMNS(coi_ncoi_select),FALSE),TBHPI[[#This Row],[CO]])</f>
        <v>NCOI</v>
      </c>
      <c r="H12" s="323">
        <f>VLOOKUP(TBHPI[[#This Row],[Strand]],indSelect_TBHP,6,FALSE)</f>
        <v>0</v>
      </c>
      <c r="I12" s="320" t="str">
        <f>IFERROR(IF(AND(TBHPI[[#This Row],[Selected]],TBHPI[[#This Row],[CO]]="COI/NCOI"),VLOOKUP(TBHPI[[#This Row],[Strand]],indSelect_TBHP,9,FALSE),TBHPI[[#This Row],[CO]]),TBHPI[[#This Row],[CO]])</f>
        <v>NCOI</v>
      </c>
      <c r="J12" s="327" t="b">
        <f>IF(AND(required_cot&gt;=1,TBHPI[[#This Row],[Selected]]),VLOOKUP(TBHPI[[#This Row],[Strand]],indSelect_TBHP,10,FALSE)=1,FALSE)</f>
        <v>0</v>
      </c>
      <c r="K12" s="327" t="b">
        <f>IF(AND(required_cot&gt;=2,TBHPI[[#This Row],[Selected]]),VLOOKUP(TBHPI[[#This Row],[Strand]],indSelect_TBHP,11,FALSE)=1,FALSE)</f>
        <v>0</v>
      </c>
      <c r="L12" s="327" t="b">
        <f>IF(AND(required_cot&gt;=3,TBHPI[[#This Row],[Selected]]),VLOOKUP(TBHPI[[#This Row],[Strand]],indSelect_TBHP,12,FALSE)=1,FALSE)</f>
        <v>0</v>
      </c>
      <c r="M12" s="327" t="b">
        <f>IF(AND(required_cot&gt;=4,TBHPI[[#This Row],[Selected]]),VLOOKUP(TBHPI[[#This Row],[Strand]],indSelect_TBHP,13,FALSE)=1,FALSE)</f>
        <v>0</v>
      </c>
    </row>
    <row r="13" spans="1:13" ht="75" x14ac:dyDescent="0.25">
      <c r="A13" s="22">
        <v>2.5</v>
      </c>
      <c r="B13" s="19" t="s">
        <v>1523</v>
      </c>
      <c r="C13" s="13">
        <v>2</v>
      </c>
      <c r="D13" s="320" t="str">
        <f>IFERROR(IF(AND(COUNTIF(TBHPS[helper],TBHPI[[#This Row],[Strand]]&amp;"-Q-COI")&gt;0,COUNTIF(TBHPS[helper],TBHPI[[#This Row],[Strand]]&amp;"-Q-NCOI")&gt;0),"COI/NCOI",IF(COUNTIF(TBHPS[helper],TBHPI[[#This Row],[Strand]]&amp;"-Q-COI")&gt;0,"COI",IF(COUNTIF(TBHPS[helper],TBHPI[[#This Row],[Strand]]&amp;"-Q-NCOI")&gt;0,"NCOI",""))),"")</f>
        <v>NCOI</v>
      </c>
      <c r="E13" s="13">
        <v>3</v>
      </c>
      <c r="F13" s="327" t="b">
        <f>VLOOKUP(TBHPI[[#This Row],[Strand]],indSelect_TBHP,7,FALSE)</f>
        <v>0</v>
      </c>
      <c r="G13" s="320" t="str">
        <f>IF(AND(career_stage="HP",teacher_type="TB",TBHPI[[#This Row],[CO]]="COI/NCOI",TBHPI[[#This Row],[Selected]]),VLOOKUP(TBHPI[[#This Row],[Strand]],coi_ncoi_select,COLUMNS(coi_ncoi_select),FALSE),TBHPI[[#This Row],[CO]])</f>
        <v>NCOI</v>
      </c>
      <c r="H13" s="323">
        <f>VLOOKUP(TBHPI[[#This Row],[Strand]],indSelect_TBHP,6,FALSE)</f>
        <v>0</v>
      </c>
      <c r="I13" s="320" t="str">
        <f>IFERROR(IF(AND(TBHPI[[#This Row],[Selected]],TBHPI[[#This Row],[CO]]="COI/NCOI"),VLOOKUP(TBHPI[[#This Row],[Strand]],indSelect_TBHP,9,FALSE),TBHPI[[#This Row],[CO]]),TBHPI[[#This Row],[CO]])</f>
        <v>NCOI</v>
      </c>
      <c r="J13" s="327" t="b">
        <f>IF(AND(required_cot&gt;=1,TBHPI[[#This Row],[Selected]]),VLOOKUP(TBHPI[[#This Row],[Strand]],indSelect_TBHP,10,FALSE)=1,FALSE)</f>
        <v>0</v>
      </c>
      <c r="K13" s="327" t="b">
        <f>IF(AND(required_cot&gt;=2,TBHPI[[#This Row],[Selected]]),VLOOKUP(TBHPI[[#This Row],[Strand]],indSelect_TBHP,11,FALSE)=1,FALSE)</f>
        <v>0</v>
      </c>
      <c r="L13" s="327" t="b">
        <f>IF(AND(required_cot&gt;=3,TBHPI[[#This Row],[Selected]]),VLOOKUP(TBHPI[[#This Row],[Strand]],indSelect_TBHP,12,FALSE)=1,FALSE)</f>
        <v>0</v>
      </c>
      <c r="M13" s="327" t="b">
        <f>IF(AND(required_cot&gt;=4,TBHPI[[#This Row],[Selected]]),VLOOKUP(TBHPI[[#This Row],[Strand]],indSelect_TBHP,13,FALSE)=1,FALSE)</f>
        <v>0</v>
      </c>
    </row>
    <row r="14" spans="1:13" ht="60" x14ac:dyDescent="0.25">
      <c r="A14" s="22">
        <v>2.6</v>
      </c>
      <c r="B14" s="18" t="s">
        <v>1525</v>
      </c>
      <c r="C14" s="13">
        <v>2</v>
      </c>
      <c r="D14" s="331" t="str">
        <f>IFERROR(IF(AND(COUNTIF(TBHPS[helper],TBHPI[[#This Row],[Strand]]&amp;"-Q-COI")&gt;0,COUNTIF(TBHPS[helper],TBHPI[[#This Row],[Strand]]&amp;"-Q-NCOI")&gt;0),"COI/NCOI",IF(COUNTIF(TBHPS[helper],TBHPI[[#This Row],[Strand]]&amp;"-Q-COI")&gt;0,"COI",IF(COUNTIF(TBHPS[helper],TBHPI[[#This Row],[Strand]]&amp;"-Q-NCOI")&gt;0,"NCOI",""))),"")</f>
        <v>COI</v>
      </c>
      <c r="E14" s="36">
        <v>1</v>
      </c>
      <c r="F14" s="327" t="b">
        <f>VLOOKUP(TBHPI[[#This Row],[Strand]],indSelect_TBHP,7,FALSE)</f>
        <v>0</v>
      </c>
      <c r="G14" s="320" t="str">
        <f>IF(AND(career_stage="HP",teacher_type="TB",TBHPI[[#This Row],[CO]]="COI/NCOI",TBHPI[[#This Row],[Selected]]),VLOOKUP(TBHPI[[#This Row],[Strand]],coi_ncoi_select,COLUMNS(coi_ncoi_select),FALSE),TBHPI[[#This Row],[CO]])</f>
        <v>COI</v>
      </c>
      <c r="H14" s="323">
        <f>VLOOKUP(TBHPI[[#This Row],[Strand]],indSelect_TBHP,6,FALSE)</f>
        <v>0</v>
      </c>
      <c r="I14" s="320" t="str">
        <f>IFERROR(IF(AND(TBHPI[[#This Row],[Selected]],TBHPI[[#This Row],[CO]]="COI/NCOI"),VLOOKUP(TBHPI[[#This Row],[Strand]],indSelect_TBHP,9,FALSE),TBHPI[[#This Row],[CO]]),TBHPI[[#This Row],[CO]])</f>
        <v>COI</v>
      </c>
      <c r="J14" s="327" t="b">
        <f>IF(AND(required_cot&gt;=1,TBHPI[[#This Row],[Selected]]),VLOOKUP(TBHPI[[#This Row],[Strand]],indSelect_TBHP,10,FALSE)=1,FALSE)</f>
        <v>0</v>
      </c>
      <c r="K14" s="327" t="b">
        <f>IF(AND(required_cot&gt;=2,TBHPI[[#This Row],[Selected]]),VLOOKUP(TBHPI[[#This Row],[Strand]],indSelect_TBHP,11,FALSE)=1,FALSE)</f>
        <v>0</v>
      </c>
      <c r="L14" s="327" t="b">
        <f>IF(AND(required_cot&gt;=3,TBHPI[[#This Row],[Selected]]),VLOOKUP(TBHPI[[#This Row],[Strand]],indSelect_TBHP,12,FALSE)=1,FALSE)</f>
        <v>0</v>
      </c>
      <c r="M14" s="327" t="b">
        <f>IF(AND(required_cot&gt;=4,TBHPI[[#This Row],[Selected]]),VLOOKUP(TBHPI[[#This Row],[Strand]],indSelect_TBHP,13,FALSE)=1,FALSE)</f>
        <v>0</v>
      </c>
    </row>
    <row r="15" spans="1:13" ht="60" x14ac:dyDescent="0.25">
      <c r="A15" s="22">
        <v>3.1</v>
      </c>
      <c r="B15" s="18" t="s">
        <v>1527</v>
      </c>
      <c r="C15" s="13">
        <v>3</v>
      </c>
      <c r="D15" s="331" t="str">
        <f>IFERROR(IF(AND(COUNTIF(TBHPS[helper],TBHPI[[#This Row],[Strand]]&amp;"-Q-COI")&gt;0,COUNTIF(TBHPS[helper],TBHPI[[#This Row],[Strand]]&amp;"-Q-NCOI")&gt;0),"COI/NCOI",IF(COUNTIF(TBHPS[helper],TBHPI[[#This Row],[Strand]]&amp;"-Q-COI")&gt;0,"COI",IF(COUNTIF(TBHPS[helper],TBHPI[[#This Row],[Strand]]&amp;"-Q-NCOI")&gt;0,"NCOI",""))),"")</f>
        <v>NCOI</v>
      </c>
      <c r="E15" s="36">
        <v>1</v>
      </c>
      <c r="F15" s="327" t="b">
        <f>VLOOKUP(TBHPI[[#This Row],[Strand]],indSelect_TBHP,7,FALSE)</f>
        <v>0</v>
      </c>
      <c r="G15" s="320" t="str">
        <f>IF(AND(career_stage="HP",teacher_type="TB",TBHPI[[#This Row],[CO]]="COI/NCOI",TBHPI[[#This Row],[Selected]]),VLOOKUP(TBHPI[[#This Row],[Strand]],coi_ncoi_select,COLUMNS(coi_ncoi_select),FALSE),TBHPI[[#This Row],[CO]])</f>
        <v>NCOI</v>
      </c>
      <c r="H15" s="323">
        <f>VLOOKUP(TBHPI[[#This Row],[Strand]],indSelect_TBHP,6,FALSE)</f>
        <v>0</v>
      </c>
      <c r="I15" s="320" t="str">
        <f>IFERROR(IF(AND(TBHPI[[#This Row],[Selected]],TBHPI[[#This Row],[CO]]="COI/NCOI"),VLOOKUP(TBHPI[[#This Row],[Strand]],indSelect_TBHP,9,FALSE),TBHPI[[#This Row],[CO]]),TBHPI[[#This Row],[CO]])</f>
        <v>NCOI</v>
      </c>
      <c r="J15" s="327" t="b">
        <f>IF(AND(required_cot&gt;=1,TBHPI[[#This Row],[Selected]]),VLOOKUP(TBHPI[[#This Row],[Strand]],indSelect_TBHP,10,FALSE)=1,FALSE)</f>
        <v>0</v>
      </c>
      <c r="K15" s="327" t="b">
        <f>IF(AND(required_cot&gt;=2,TBHPI[[#This Row],[Selected]]),VLOOKUP(TBHPI[[#This Row],[Strand]],indSelect_TBHP,11,FALSE)=1,FALSE)</f>
        <v>0</v>
      </c>
      <c r="L15" s="327" t="b">
        <f>IF(AND(required_cot&gt;=3,TBHPI[[#This Row],[Selected]]),VLOOKUP(TBHPI[[#This Row],[Strand]],indSelect_TBHP,12,FALSE)=1,FALSE)</f>
        <v>0</v>
      </c>
      <c r="M15" s="327" t="b">
        <f>IF(AND(required_cot&gt;=4,TBHPI[[#This Row],[Selected]]),VLOOKUP(TBHPI[[#This Row],[Strand]],indSelect_TBHP,13,FALSE)=1,FALSE)</f>
        <v>0</v>
      </c>
    </row>
    <row r="16" spans="1:13" s="2" customFormat="1" ht="95.45" customHeight="1" x14ac:dyDescent="0.25">
      <c r="A16" s="22">
        <v>3.2</v>
      </c>
      <c r="B16" s="19" t="s">
        <v>1529</v>
      </c>
      <c r="C16" s="13">
        <v>3</v>
      </c>
      <c r="D16" s="320" t="str">
        <f>IFERROR(IF(AND(COUNTIF(TBHPS[helper],TBHPI[[#This Row],[Strand]]&amp;"-Q-COI")&gt;0,COUNTIF(TBHPS[helper],TBHPI[[#This Row],[Strand]]&amp;"-Q-NCOI")&gt;0),"COI/NCOI",IF(COUNTIF(TBHPS[helper],TBHPI[[#This Row],[Strand]]&amp;"-Q-COI")&gt;0,"COI",IF(COUNTIF(TBHPS[helper],TBHPI[[#This Row],[Strand]]&amp;"-Q-NCOI")&gt;0,"NCOI",""))),"")</f>
        <v>NCOI</v>
      </c>
      <c r="E16" s="13">
        <v>2</v>
      </c>
      <c r="F16" s="328" t="b">
        <f>VLOOKUP(TBHPI[[#This Row],[Strand]],indSelect_TBHP,7,FALSE)</f>
        <v>0</v>
      </c>
      <c r="G16" s="329" t="str">
        <f>IF(AND(career_stage="HP",teacher_type="TB",TBHPI[[#This Row],[CO]]="COI/NCOI",TBHPI[[#This Row],[Selected]]),VLOOKUP(TBHPI[[#This Row],[Strand]],coi_ncoi_select,COLUMNS(coi_ncoi_select),FALSE),TBHPI[[#This Row],[CO]])</f>
        <v>NCOI</v>
      </c>
      <c r="H16" s="330">
        <f>VLOOKUP(TBHPI[[#This Row],[Strand]],indSelect_TBHP,6,FALSE)</f>
        <v>0</v>
      </c>
      <c r="I16" s="329" t="str">
        <f>IFERROR(IF(AND(TBHPI[[#This Row],[Selected]],TBHPI[[#This Row],[CO]]="COI/NCOI"),VLOOKUP(TBHPI[[#This Row],[Strand]],indSelect_TBHP,9,FALSE),TBHPI[[#This Row],[CO]]),TBHPI[[#This Row],[CO]])</f>
        <v>NCOI</v>
      </c>
      <c r="J16" s="328" t="b">
        <f>IF(AND(required_cot&gt;=1,TBHPI[[#This Row],[Selected]]),VLOOKUP(TBHPI[[#This Row],[Strand]],indSelect_TBHP,10,FALSE)=1,FALSE)</f>
        <v>0</v>
      </c>
      <c r="K16" s="328" t="b">
        <f>IF(AND(required_cot&gt;=2,TBHPI[[#This Row],[Selected]]),VLOOKUP(TBHPI[[#This Row],[Strand]],indSelect_TBHP,11,FALSE)=1,FALSE)</f>
        <v>0</v>
      </c>
      <c r="L16" s="328" t="b">
        <f>IF(AND(required_cot&gt;=3,TBHPI[[#This Row],[Selected]]),VLOOKUP(TBHPI[[#This Row],[Strand]],indSelect_TBHP,12,FALSE)=1,FALSE)</f>
        <v>0</v>
      </c>
      <c r="M16" s="328" t="b">
        <f>IF(AND(required_cot&gt;=4,TBHPI[[#This Row],[Selected]]),VLOOKUP(TBHPI[[#This Row],[Strand]],indSelect_TBHP,13,FALSE)=1,FALSE)</f>
        <v>0</v>
      </c>
    </row>
    <row r="17" spans="1:13" ht="60" x14ac:dyDescent="0.25">
      <c r="A17" s="22">
        <v>3.3</v>
      </c>
      <c r="B17" s="18" t="s">
        <v>1531</v>
      </c>
      <c r="C17" s="13">
        <v>3</v>
      </c>
      <c r="D17" s="320" t="str">
        <f>IFERROR(IF(AND(COUNTIF(TBHPS[helper],TBHPI[[#This Row],[Strand]]&amp;"-Q-COI")&gt;0,COUNTIF(TBHPS[helper],TBHPI[[#This Row],[Strand]]&amp;"-Q-NCOI")&gt;0),"COI/NCOI",IF(COUNTIF(TBHPS[helper],TBHPI[[#This Row],[Strand]]&amp;"-Q-COI")&gt;0,"COI",IF(COUNTIF(TBHPS[helper],TBHPI[[#This Row],[Strand]]&amp;"-Q-NCOI")&gt;0,"NCOI",""))),"")</f>
        <v>COI/NCOI</v>
      </c>
      <c r="E17" s="13">
        <v>3</v>
      </c>
      <c r="F17" s="327" t="b">
        <f>VLOOKUP(TBHPI[[#This Row],[Strand]],indSelect_TBHP,7,FALSE)</f>
        <v>0</v>
      </c>
      <c r="G17" s="320" t="str">
        <f>IF(AND(career_stage="HP",teacher_type="TB",TBHPI[[#This Row],[CO]]="COI/NCOI",TBHPI[[#This Row],[Selected]]),VLOOKUP(TBHPI[[#This Row],[Strand]],coi_ncoi_select,COLUMNS(coi_ncoi_select),FALSE),TBHPI[[#This Row],[CO]])</f>
        <v>COI/NCOI</v>
      </c>
      <c r="H17" s="323">
        <f>VLOOKUP(TBHPI[[#This Row],[Strand]],indSelect_TBHP,6,FALSE)</f>
        <v>0</v>
      </c>
      <c r="I17" s="320" t="str">
        <f>IFERROR(IF(AND(TBHPI[[#This Row],[Selected]],TBHPI[[#This Row],[CO]]="COI/NCOI"),VLOOKUP(TBHPI[[#This Row],[Strand]],indSelect_TBHP,9,FALSE),TBHPI[[#This Row],[CO]]),TBHPI[[#This Row],[CO]])</f>
        <v>COI/NCOI</v>
      </c>
      <c r="J17" s="327" t="b">
        <f>IF(AND(required_cot&gt;=1,TBHPI[[#This Row],[Selected]]),VLOOKUP(TBHPI[[#This Row],[Strand]],indSelect_TBHP,10,FALSE)=1,FALSE)</f>
        <v>0</v>
      </c>
      <c r="K17" s="327" t="b">
        <f>IF(AND(required_cot&gt;=2,TBHPI[[#This Row],[Selected]]),VLOOKUP(TBHPI[[#This Row],[Strand]],indSelect_TBHP,11,FALSE)=1,FALSE)</f>
        <v>0</v>
      </c>
      <c r="L17" s="327" t="b">
        <f>IF(AND(required_cot&gt;=3,TBHPI[[#This Row],[Selected]]),VLOOKUP(TBHPI[[#This Row],[Strand]],indSelect_TBHP,12,FALSE)=1,FALSE)</f>
        <v>0</v>
      </c>
      <c r="M17" s="327" t="b">
        <f>IF(AND(required_cot&gt;=4,TBHPI[[#This Row],[Selected]]),VLOOKUP(TBHPI[[#This Row],[Strand]],indSelect_TBHP,13,FALSE)=1,FALSE)</f>
        <v>0</v>
      </c>
    </row>
    <row r="18" spans="1:13" ht="105" x14ac:dyDescent="0.25">
      <c r="A18" s="22">
        <v>3.4</v>
      </c>
      <c r="B18" s="19" t="s">
        <v>1533</v>
      </c>
      <c r="C18" s="13">
        <v>3</v>
      </c>
      <c r="D18" s="320" t="str">
        <f>IFERROR(IF(AND(COUNTIF(TBHPS[helper],TBHPI[[#This Row],[Strand]]&amp;"-Q-COI")&gt;0,COUNTIF(TBHPS[helper],TBHPI[[#This Row],[Strand]]&amp;"-Q-NCOI")&gt;0),"COI/NCOI",IF(COUNTIF(TBHPS[helper],TBHPI[[#This Row],[Strand]]&amp;"-Q-COI")&gt;0,"COI",IF(COUNTIF(TBHPS[helper],TBHPI[[#This Row],[Strand]]&amp;"-Q-NCOI")&gt;0,"NCOI",""))),"")</f>
        <v>COI</v>
      </c>
      <c r="E18" s="13">
        <v>2</v>
      </c>
      <c r="F18" s="327" t="b">
        <f>VLOOKUP(TBHPI[[#This Row],[Strand]],indSelect_TBHP,7,FALSE)</f>
        <v>0</v>
      </c>
      <c r="G18" s="320" t="str">
        <f>IF(AND(career_stage="HP",teacher_type="TB",TBHPI[[#This Row],[CO]]="COI/NCOI",TBHPI[[#This Row],[Selected]]),VLOOKUP(TBHPI[[#This Row],[Strand]],coi_ncoi_select,COLUMNS(coi_ncoi_select),FALSE),TBHPI[[#This Row],[CO]])</f>
        <v>COI</v>
      </c>
      <c r="H18" s="323">
        <f>VLOOKUP(TBHPI[[#This Row],[Strand]],indSelect_TBHP,6,FALSE)</f>
        <v>0</v>
      </c>
      <c r="I18" s="320" t="str">
        <f>IFERROR(IF(AND(TBHPI[[#This Row],[Selected]],TBHPI[[#This Row],[CO]]="COI/NCOI"),VLOOKUP(TBHPI[[#This Row],[Strand]],indSelect_TBHP,9,FALSE),TBHPI[[#This Row],[CO]]),TBHPI[[#This Row],[CO]])</f>
        <v>COI</v>
      </c>
      <c r="J18" s="327" t="b">
        <f>IF(AND(required_cot&gt;=1,TBHPI[[#This Row],[Selected]]),VLOOKUP(TBHPI[[#This Row],[Strand]],indSelect_TBHP,10,FALSE)=1,FALSE)</f>
        <v>0</v>
      </c>
      <c r="K18" s="327" t="b">
        <f>IF(AND(required_cot&gt;=2,TBHPI[[#This Row],[Selected]]),VLOOKUP(TBHPI[[#This Row],[Strand]],indSelect_TBHP,11,FALSE)=1,FALSE)</f>
        <v>0</v>
      </c>
      <c r="L18" s="327" t="b">
        <f>IF(AND(required_cot&gt;=3,TBHPI[[#This Row],[Selected]]),VLOOKUP(TBHPI[[#This Row],[Strand]],indSelect_TBHP,12,FALSE)=1,FALSE)</f>
        <v>0</v>
      </c>
      <c r="M18" s="327" t="b">
        <f>IF(AND(required_cot&gt;=4,TBHPI[[#This Row],[Selected]]),VLOOKUP(TBHPI[[#This Row],[Strand]],indSelect_TBHP,13,FALSE)=1,FALSE)</f>
        <v>0</v>
      </c>
    </row>
    <row r="19" spans="1:13" ht="45" x14ac:dyDescent="0.25">
      <c r="A19" s="22">
        <v>3.5</v>
      </c>
      <c r="B19" s="18" t="s">
        <v>1535</v>
      </c>
      <c r="C19" s="13">
        <v>3</v>
      </c>
      <c r="D19" s="320" t="str">
        <f>IFERROR(IF(AND(COUNTIF(TBHPS[helper],TBHPI[[#This Row],[Strand]]&amp;"-Q-COI")&gt;0,COUNTIF(TBHPS[helper],TBHPI[[#This Row],[Strand]]&amp;"-Q-NCOI")&gt;0),"COI/NCOI",IF(COUNTIF(TBHPS[helper],TBHPI[[#This Row],[Strand]]&amp;"-Q-COI")&gt;0,"COI",IF(COUNTIF(TBHPS[helper],TBHPI[[#This Row],[Strand]]&amp;"-Q-NCOI")&gt;0,"NCOI",""))),"")</f>
        <v>COI/NCOI</v>
      </c>
      <c r="E19" s="13">
        <v>3</v>
      </c>
      <c r="F19" s="327" t="b">
        <f>VLOOKUP(TBHPI[[#This Row],[Strand]],indSelect_TBHP,7,FALSE)</f>
        <v>0</v>
      </c>
      <c r="G19" s="320" t="str">
        <f>IF(AND(career_stage="HP",teacher_type="TB",TBHPI[[#This Row],[CO]]="COI/NCOI",TBHPI[[#This Row],[Selected]]),VLOOKUP(TBHPI[[#This Row],[Strand]],coi_ncoi_select,COLUMNS(coi_ncoi_select),FALSE),TBHPI[[#This Row],[CO]])</f>
        <v>COI/NCOI</v>
      </c>
      <c r="H19" s="323">
        <f>VLOOKUP(TBHPI[[#This Row],[Strand]],indSelect_TBHP,6,FALSE)</f>
        <v>0</v>
      </c>
      <c r="I19" s="320" t="str">
        <f>IFERROR(IF(AND(TBHPI[[#This Row],[Selected]],TBHPI[[#This Row],[CO]]="COI/NCOI"),VLOOKUP(TBHPI[[#This Row],[Strand]],indSelect_TBHP,9,FALSE),TBHPI[[#This Row],[CO]]),TBHPI[[#This Row],[CO]])</f>
        <v>COI/NCOI</v>
      </c>
      <c r="J19" s="327" t="b">
        <f>IF(AND(required_cot&gt;=1,TBHPI[[#This Row],[Selected]]),VLOOKUP(TBHPI[[#This Row],[Strand]],indSelect_TBHP,10,FALSE)=1,FALSE)</f>
        <v>0</v>
      </c>
      <c r="K19" s="327" t="b">
        <f>IF(AND(required_cot&gt;=2,TBHPI[[#This Row],[Selected]]),VLOOKUP(TBHPI[[#This Row],[Strand]],indSelect_TBHP,11,FALSE)=1,FALSE)</f>
        <v>0</v>
      </c>
      <c r="L19" s="327" t="b">
        <f>IF(AND(required_cot&gt;=3,TBHPI[[#This Row],[Selected]]),VLOOKUP(TBHPI[[#This Row],[Strand]],indSelect_TBHP,12,FALSE)=1,FALSE)</f>
        <v>0</v>
      </c>
      <c r="M19" s="327" t="b">
        <f>IF(AND(required_cot&gt;=4,TBHPI[[#This Row],[Selected]]),VLOOKUP(TBHPI[[#This Row],[Strand]],indSelect_TBHP,13,FALSE)=1,FALSE)</f>
        <v>0</v>
      </c>
    </row>
    <row r="20" spans="1:13" ht="90" x14ac:dyDescent="0.25">
      <c r="A20" s="22">
        <v>4.0999999999999996</v>
      </c>
      <c r="B20" s="18" t="s">
        <v>1537</v>
      </c>
      <c r="C20" s="13">
        <v>4</v>
      </c>
      <c r="D20" s="331" t="str">
        <f>IFERROR(IF(AND(COUNTIF(TBHPS[helper],TBHPI[[#This Row],[Strand]]&amp;"-Q-COI")&gt;0,COUNTIF(TBHPS[helper],TBHPI[[#This Row],[Strand]]&amp;"-Q-NCOI")&gt;0),"COI/NCOI",IF(COUNTIF(TBHPS[helper],TBHPI[[#This Row],[Strand]]&amp;"-Q-COI")&gt;0,"COI",IF(COUNTIF(TBHPS[helper],TBHPI[[#This Row],[Strand]]&amp;"-Q-NCOI")&gt;0,"NCOI",""))),"")</f>
        <v>COI</v>
      </c>
      <c r="E20" s="36">
        <v>1</v>
      </c>
      <c r="F20" s="327" t="b">
        <f>VLOOKUP(TBHPI[[#This Row],[Strand]],indSelect_TBHP,7,FALSE)</f>
        <v>0</v>
      </c>
      <c r="G20" s="320" t="str">
        <f>IF(AND(career_stage="HP",teacher_type="TB",TBHPI[[#This Row],[CO]]="COI/NCOI",TBHPI[[#This Row],[Selected]]),VLOOKUP(TBHPI[[#This Row],[Strand]],coi_ncoi_select,COLUMNS(coi_ncoi_select),FALSE),TBHPI[[#This Row],[CO]])</f>
        <v>COI</v>
      </c>
      <c r="H20" s="323">
        <f>VLOOKUP(TBHPI[[#This Row],[Strand]],indSelect_TBHP,6,FALSE)</f>
        <v>0</v>
      </c>
      <c r="I20" s="320" t="str">
        <f>IFERROR(IF(AND(TBHPI[[#This Row],[Selected]],TBHPI[[#This Row],[CO]]="COI/NCOI"),VLOOKUP(TBHPI[[#This Row],[Strand]],indSelect_TBHP,9,FALSE),TBHPI[[#This Row],[CO]]),TBHPI[[#This Row],[CO]])</f>
        <v>COI</v>
      </c>
      <c r="J20" s="327" t="b">
        <f>IF(AND(required_cot&gt;=1,TBHPI[[#This Row],[Selected]]),VLOOKUP(TBHPI[[#This Row],[Strand]],indSelect_TBHP,10,FALSE)=1,FALSE)</f>
        <v>0</v>
      </c>
      <c r="K20" s="327" t="b">
        <f>IF(AND(required_cot&gt;=2,TBHPI[[#This Row],[Selected]]),VLOOKUP(TBHPI[[#This Row],[Strand]],indSelect_TBHP,11,FALSE)=1,FALSE)</f>
        <v>0</v>
      </c>
      <c r="L20" s="327" t="b">
        <f>IF(AND(required_cot&gt;=3,TBHPI[[#This Row],[Selected]]),VLOOKUP(TBHPI[[#This Row],[Strand]],indSelect_TBHP,12,FALSE)=1,FALSE)</f>
        <v>0</v>
      </c>
      <c r="M20" s="327" t="b">
        <f>IF(AND(required_cot&gt;=4,TBHPI[[#This Row],[Selected]]),VLOOKUP(TBHPI[[#This Row],[Strand]],indSelect_TBHP,13,FALSE)=1,FALSE)</f>
        <v>0</v>
      </c>
    </row>
    <row r="21" spans="1:13" ht="60" x14ac:dyDescent="0.25">
      <c r="A21" s="22">
        <v>4.2</v>
      </c>
      <c r="B21" s="19" t="s">
        <v>1539</v>
      </c>
      <c r="C21" s="13">
        <v>4</v>
      </c>
      <c r="D21" s="320" t="str">
        <f>IFERROR(IF(AND(COUNTIF(TBHPS[helper],TBHPI[[#This Row],[Strand]]&amp;"-Q-COI")&gt;0,COUNTIF(TBHPS[helper],TBHPI[[#This Row],[Strand]]&amp;"-Q-NCOI")&gt;0),"COI/NCOI",IF(COUNTIF(TBHPS[helper],TBHPI[[#This Row],[Strand]]&amp;"-Q-COI")&gt;0,"COI",IF(COUNTIF(TBHPS[helper],TBHPI[[#This Row],[Strand]]&amp;"-Q-NCOI")&gt;0,"NCOI",""))),"")</f>
        <v>NCOI</v>
      </c>
      <c r="E21" s="13">
        <v>2</v>
      </c>
      <c r="F21" s="327" t="b">
        <f>VLOOKUP(TBHPI[[#This Row],[Strand]],indSelect_TBHP,7,FALSE)</f>
        <v>0</v>
      </c>
      <c r="G21" s="320" t="str">
        <f>IF(AND(career_stage="HP",teacher_type="TB",TBHPI[[#This Row],[CO]]="COI/NCOI",TBHPI[[#This Row],[Selected]]),VLOOKUP(TBHPI[[#This Row],[Strand]],coi_ncoi_select,COLUMNS(coi_ncoi_select),FALSE),TBHPI[[#This Row],[CO]])</f>
        <v>NCOI</v>
      </c>
      <c r="H21" s="323">
        <f>VLOOKUP(TBHPI[[#This Row],[Strand]],indSelect_TBHP,6,FALSE)</f>
        <v>0</v>
      </c>
      <c r="I21" s="320" t="str">
        <f>IFERROR(IF(AND(TBHPI[[#This Row],[Selected]],TBHPI[[#This Row],[CO]]="COI/NCOI"),VLOOKUP(TBHPI[[#This Row],[Strand]],indSelect_TBHP,9,FALSE),TBHPI[[#This Row],[CO]]),TBHPI[[#This Row],[CO]])</f>
        <v>NCOI</v>
      </c>
      <c r="J21" s="327" t="b">
        <f>IF(AND(required_cot&gt;=1,TBHPI[[#This Row],[Selected]]),VLOOKUP(TBHPI[[#This Row],[Strand]],indSelect_TBHP,10,FALSE)=1,FALSE)</f>
        <v>0</v>
      </c>
      <c r="K21" s="327" t="b">
        <f>IF(AND(required_cot&gt;=2,TBHPI[[#This Row],[Selected]]),VLOOKUP(TBHPI[[#This Row],[Strand]],indSelect_TBHP,11,FALSE)=1,FALSE)</f>
        <v>0</v>
      </c>
      <c r="L21" s="327" t="b">
        <f>IF(AND(required_cot&gt;=3,TBHPI[[#This Row],[Selected]]),VLOOKUP(TBHPI[[#This Row],[Strand]],indSelect_TBHP,12,FALSE)=1,FALSE)</f>
        <v>0</v>
      </c>
      <c r="M21" s="327" t="b">
        <f>IF(AND(required_cot&gt;=4,TBHPI[[#This Row],[Selected]]),VLOOKUP(TBHPI[[#This Row],[Strand]],indSelect_TBHP,13,FALSE)=1,FALSE)</f>
        <v>0</v>
      </c>
    </row>
    <row r="22" spans="1:13" ht="57.6" customHeight="1" x14ac:dyDescent="0.25">
      <c r="A22" s="22">
        <v>4.3</v>
      </c>
      <c r="B22" s="19" t="s">
        <v>1541</v>
      </c>
      <c r="C22" s="13">
        <v>4</v>
      </c>
      <c r="D22" s="320" t="str">
        <f>IFERROR(IF(AND(COUNTIF(TBHPS[helper],TBHPI[[#This Row],[Strand]]&amp;"-Q-COI")&gt;0,COUNTIF(TBHPS[helper],TBHPI[[#This Row],[Strand]]&amp;"-Q-NCOI")&gt;0),"COI/NCOI",IF(COUNTIF(TBHPS[helper],TBHPI[[#This Row],[Strand]]&amp;"-Q-COI")&gt;0,"COI",IF(COUNTIF(TBHPS[helper],TBHPI[[#This Row],[Strand]]&amp;"-Q-NCOI")&gt;0,"NCOI",""))),"")</f>
        <v>NCOI</v>
      </c>
      <c r="E22" s="13">
        <v>3</v>
      </c>
      <c r="F22" s="327" t="b">
        <f>VLOOKUP(TBHPI[[#This Row],[Strand]],indSelect_TBHP,7,FALSE)</f>
        <v>0</v>
      </c>
      <c r="G22" s="320" t="str">
        <f>IF(AND(career_stage="HP",teacher_type="TB",TBHPI[[#This Row],[CO]]="COI/NCOI",TBHPI[[#This Row],[Selected]]),VLOOKUP(TBHPI[[#This Row],[Strand]],coi_ncoi_select,COLUMNS(coi_ncoi_select),FALSE),TBHPI[[#This Row],[CO]])</f>
        <v>NCOI</v>
      </c>
      <c r="H22" s="323">
        <f>VLOOKUP(TBHPI[[#This Row],[Strand]],indSelect_TBHP,6,FALSE)</f>
        <v>0</v>
      </c>
      <c r="I22" s="320" t="str">
        <f>IFERROR(IF(AND(TBHPI[[#This Row],[Selected]],TBHPI[[#This Row],[CO]]="COI/NCOI"),VLOOKUP(TBHPI[[#This Row],[Strand]],indSelect_TBHP,9,FALSE),TBHPI[[#This Row],[CO]]),TBHPI[[#This Row],[CO]])</f>
        <v>NCOI</v>
      </c>
      <c r="J22" s="327" t="b">
        <f>IF(AND(required_cot&gt;=1,TBHPI[[#This Row],[Selected]]),VLOOKUP(TBHPI[[#This Row],[Strand]],indSelect_TBHP,10,FALSE)=1,FALSE)</f>
        <v>0</v>
      </c>
      <c r="K22" s="327" t="b">
        <f>IF(AND(required_cot&gt;=2,TBHPI[[#This Row],[Selected]]),VLOOKUP(TBHPI[[#This Row],[Strand]],indSelect_TBHP,11,FALSE)=1,FALSE)</f>
        <v>0</v>
      </c>
      <c r="L22" s="327" t="b">
        <f>IF(AND(required_cot&gt;=3,TBHPI[[#This Row],[Selected]]),VLOOKUP(TBHPI[[#This Row],[Strand]],indSelect_TBHP,12,FALSE)=1,FALSE)</f>
        <v>0</v>
      </c>
      <c r="M22" s="327" t="b">
        <f>IF(AND(required_cot&gt;=4,TBHPI[[#This Row],[Selected]]),VLOOKUP(TBHPI[[#This Row],[Strand]],indSelect_TBHP,13,FALSE)=1,FALSE)</f>
        <v>0</v>
      </c>
    </row>
    <row r="23" spans="1:13" ht="45" x14ac:dyDescent="0.25">
      <c r="A23" s="22">
        <v>4.4000000000000004</v>
      </c>
      <c r="B23" s="18" t="s">
        <v>1543</v>
      </c>
      <c r="C23" s="13">
        <v>4</v>
      </c>
      <c r="D23" s="331" t="str">
        <f>IFERROR(IF(AND(COUNTIF(TBHPS[helper],TBHPI[[#This Row],[Strand]]&amp;"-Q-COI")&gt;0,COUNTIF(TBHPS[helper],TBHPI[[#This Row],[Strand]]&amp;"-Q-NCOI")&gt;0),"COI/NCOI",IF(COUNTIF(TBHPS[helper],TBHPI[[#This Row],[Strand]]&amp;"-Q-COI")&gt;0,"COI",IF(COUNTIF(TBHPS[helper],TBHPI[[#This Row],[Strand]]&amp;"-Q-NCOI")&gt;0,"NCOI",""))),"")</f>
        <v>NCOI</v>
      </c>
      <c r="E23" s="36">
        <v>1</v>
      </c>
      <c r="F23" s="327" t="b">
        <f>VLOOKUP(TBHPI[[#This Row],[Strand]],indSelect_TBHP,7,FALSE)</f>
        <v>0</v>
      </c>
      <c r="G23" s="320" t="str">
        <f>IF(AND(career_stage="HP",teacher_type="TB",TBHPI[[#This Row],[CO]]="COI/NCOI",TBHPI[[#This Row],[Selected]]),VLOOKUP(TBHPI[[#This Row],[Strand]],coi_ncoi_select,COLUMNS(coi_ncoi_select),FALSE),TBHPI[[#This Row],[CO]])</f>
        <v>NCOI</v>
      </c>
      <c r="H23" s="323">
        <f>VLOOKUP(TBHPI[[#This Row],[Strand]],indSelect_TBHP,6,FALSE)</f>
        <v>0</v>
      </c>
      <c r="I23" s="320" t="str">
        <f>IFERROR(IF(AND(TBHPI[[#This Row],[Selected]],TBHPI[[#This Row],[CO]]="COI/NCOI"),VLOOKUP(TBHPI[[#This Row],[Strand]],indSelect_TBHP,9,FALSE),TBHPI[[#This Row],[CO]]),TBHPI[[#This Row],[CO]])</f>
        <v>NCOI</v>
      </c>
      <c r="J23" s="327" t="b">
        <f>IF(AND(required_cot&gt;=1,TBHPI[[#This Row],[Selected]]),VLOOKUP(TBHPI[[#This Row],[Strand]],indSelect_TBHP,10,FALSE)=1,FALSE)</f>
        <v>0</v>
      </c>
      <c r="K23" s="327" t="b">
        <f>IF(AND(required_cot&gt;=2,TBHPI[[#This Row],[Selected]]),VLOOKUP(TBHPI[[#This Row],[Strand]],indSelect_TBHP,11,FALSE)=1,FALSE)</f>
        <v>0</v>
      </c>
      <c r="L23" s="327" t="b">
        <f>IF(AND(required_cot&gt;=3,TBHPI[[#This Row],[Selected]]),VLOOKUP(TBHPI[[#This Row],[Strand]],indSelect_TBHP,12,FALSE)=1,FALSE)</f>
        <v>0</v>
      </c>
      <c r="M23" s="327" t="b">
        <f>IF(AND(required_cot&gt;=4,TBHPI[[#This Row],[Selected]]),VLOOKUP(TBHPI[[#This Row],[Strand]],indSelect_TBHP,13,FALSE)=1,FALSE)</f>
        <v>0</v>
      </c>
    </row>
    <row r="24" spans="1:13" ht="60" x14ac:dyDescent="0.25">
      <c r="A24" s="22">
        <v>4.5</v>
      </c>
      <c r="B24" s="18" t="s">
        <v>1545</v>
      </c>
      <c r="C24" s="13">
        <v>4</v>
      </c>
      <c r="D24" s="320" t="str">
        <f>IFERROR(IF(AND(COUNTIF(TBHPS[helper],TBHPI[[#This Row],[Strand]]&amp;"-Q-COI")&gt;0,COUNTIF(TBHPS[helper],TBHPI[[#This Row],[Strand]]&amp;"-Q-NCOI")&gt;0),"COI/NCOI",IF(COUNTIF(TBHPS[helper],TBHPI[[#This Row],[Strand]]&amp;"-Q-COI")&gt;0,"COI",IF(COUNTIF(TBHPS[helper],TBHPI[[#This Row],[Strand]]&amp;"-Q-NCOI")&gt;0,"NCOI",""))),"")</f>
        <v>COI</v>
      </c>
      <c r="E24" s="13">
        <v>2</v>
      </c>
      <c r="F24" s="327" t="b">
        <f>VLOOKUP(TBHPI[[#This Row],[Strand]],indSelect_TBHP,7,FALSE)</f>
        <v>0</v>
      </c>
      <c r="G24" s="320" t="str">
        <f>IF(AND(career_stage="HP",teacher_type="TB",TBHPI[[#This Row],[CO]]="COI/NCOI",TBHPI[[#This Row],[Selected]]),VLOOKUP(TBHPI[[#This Row],[Strand]],coi_ncoi_select,COLUMNS(coi_ncoi_select),FALSE),TBHPI[[#This Row],[CO]])</f>
        <v>COI</v>
      </c>
      <c r="H24" s="323">
        <f>VLOOKUP(TBHPI[[#This Row],[Strand]],indSelect_TBHP,6,FALSE)</f>
        <v>0</v>
      </c>
      <c r="I24" s="320" t="str">
        <f>IFERROR(IF(AND(TBHPI[[#This Row],[Selected]],TBHPI[[#This Row],[CO]]="COI/NCOI"),VLOOKUP(TBHPI[[#This Row],[Strand]],indSelect_TBHP,9,FALSE),TBHPI[[#This Row],[CO]]),TBHPI[[#This Row],[CO]])</f>
        <v>COI</v>
      </c>
      <c r="J24" s="327" t="b">
        <f>IF(AND(required_cot&gt;=1,TBHPI[[#This Row],[Selected]]),VLOOKUP(TBHPI[[#This Row],[Strand]],indSelect_TBHP,10,FALSE)=1,FALSE)</f>
        <v>0</v>
      </c>
      <c r="K24" s="327" t="b">
        <f>IF(AND(required_cot&gt;=2,TBHPI[[#This Row],[Selected]]),VLOOKUP(TBHPI[[#This Row],[Strand]],indSelect_TBHP,11,FALSE)=1,FALSE)</f>
        <v>0</v>
      </c>
      <c r="L24" s="327" t="b">
        <f>IF(AND(required_cot&gt;=3,TBHPI[[#This Row],[Selected]]),VLOOKUP(TBHPI[[#This Row],[Strand]],indSelect_TBHP,12,FALSE)=1,FALSE)</f>
        <v>0</v>
      </c>
      <c r="M24" s="327" t="b">
        <f>IF(AND(required_cot&gt;=4,TBHPI[[#This Row],[Selected]]),VLOOKUP(TBHPI[[#This Row],[Strand]],indSelect_TBHP,13,FALSE)=1,FALSE)</f>
        <v>0</v>
      </c>
    </row>
    <row r="25" spans="1:13" ht="75" x14ac:dyDescent="0.25">
      <c r="A25" s="22">
        <v>5.0999999999999996</v>
      </c>
      <c r="B25" s="18" t="s">
        <v>1547</v>
      </c>
      <c r="C25" s="13">
        <v>5</v>
      </c>
      <c r="D25" s="331" t="str">
        <f>IFERROR(IF(AND(COUNTIF(TBHPS[helper],TBHPI[[#This Row],[Strand]]&amp;"-Q-COI")&gt;0,COUNTIF(TBHPS[helper],TBHPI[[#This Row],[Strand]]&amp;"-Q-NCOI")&gt;0),"COI/NCOI",IF(COUNTIF(TBHPS[helper],TBHPI[[#This Row],[Strand]]&amp;"-Q-COI")&gt;0,"COI",IF(COUNTIF(TBHPS[helper],TBHPI[[#This Row],[Strand]]&amp;"-Q-NCOI")&gt;0,"NCOI",""))),"")</f>
        <v>NCOI</v>
      </c>
      <c r="E25" s="36">
        <v>1</v>
      </c>
      <c r="F25" s="327" t="b">
        <f>VLOOKUP(TBHPI[[#This Row],[Strand]],indSelect_TBHP,7,FALSE)</f>
        <v>0</v>
      </c>
      <c r="G25" s="320" t="str">
        <f>IF(AND(career_stage="HP",teacher_type="TB",TBHPI[[#This Row],[CO]]="COI/NCOI",TBHPI[[#This Row],[Selected]]),VLOOKUP(TBHPI[[#This Row],[Strand]],coi_ncoi_select,COLUMNS(coi_ncoi_select),FALSE),TBHPI[[#This Row],[CO]])</f>
        <v>NCOI</v>
      </c>
      <c r="H25" s="323">
        <f>VLOOKUP(TBHPI[[#This Row],[Strand]],indSelect_TBHP,6,FALSE)</f>
        <v>0</v>
      </c>
      <c r="I25" s="320" t="str">
        <f>IFERROR(IF(AND(TBHPI[[#This Row],[Selected]],TBHPI[[#This Row],[CO]]="COI/NCOI"),VLOOKUP(TBHPI[[#This Row],[Strand]],indSelect_TBHP,9,FALSE),TBHPI[[#This Row],[CO]]),TBHPI[[#This Row],[CO]])</f>
        <v>NCOI</v>
      </c>
      <c r="J25" s="327" t="b">
        <f>IF(AND(required_cot&gt;=1,TBHPI[[#This Row],[Selected]]),VLOOKUP(TBHPI[[#This Row],[Strand]],indSelect_TBHP,10,FALSE)=1,FALSE)</f>
        <v>0</v>
      </c>
      <c r="K25" s="327" t="b">
        <f>IF(AND(required_cot&gt;=2,TBHPI[[#This Row],[Selected]]),VLOOKUP(TBHPI[[#This Row],[Strand]],indSelect_TBHP,11,FALSE)=1,FALSE)</f>
        <v>0</v>
      </c>
      <c r="L25" s="327" t="b">
        <f>IF(AND(required_cot&gt;=3,TBHPI[[#This Row],[Selected]]),VLOOKUP(TBHPI[[#This Row],[Strand]],indSelect_TBHP,12,FALSE)=1,FALSE)</f>
        <v>0</v>
      </c>
      <c r="M25" s="327" t="b">
        <f>IF(AND(required_cot&gt;=4,TBHPI[[#This Row],[Selected]]),VLOOKUP(TBHPI[[#This Row],[Strand]],indSelect_TBHP,13,FALSE)=1,FALSE)</f>
        <v>0</v>
      </c>
    </row>
    <row r="26" spans="1:13" ht="45" x14ac:dyDescent="0.25">
      <c r="A26" s="22">
        <v>5.2</v>
      </c>
      <c r="B26" s="18" t="s">
        <v>1549</v>
      </c>
      <c r="C26" s="13">
        <v>5</v>
      </c>
      <c r="D26" s="331" t="str">
        <f>IFERROR(IF(AND(COUNTIF(TBHPS[helper],TBHPI[[#This Row],[Strand]]&amp;"-Q-COI")&gt;0,COUNTIF(TBHPS[helper],TBHPI[[#This Row],[Strand]]&amp;"-Q-NCOI")&gt;0),"COI/NCOI",IF(COUNTIF(TBHPS[helper],TBHPI[[#This Row],[Strand]]&amp;"-Q-COI")&gt;0,"COI",IF(COUNTIF(TBHPS[helper],TBHPI[[#This Row],[Strand]]&amp;"-Q-NCOI")&gt;0,"NCOI",""))),"")</f>
        <v>NCOI</v>
      </c>
      <c r="E26" s="36">
        <v>1</v>
      </c>
      <c r="F26" s="327" t="b">
        <f>VLOOKUP(TBHPI[[#This Row],[Strand]],indSelect_TBHP,7,FALSE)</f>
        <v>0</v>
      </c>
      <c r="G26" s="320" t="str">
        <f>IF(AND(career_stage="HP",teacher_type="TB",TBHPI[[#This Row],[CO]]="COI/NCOI",TBHPI[[#This Row],[Selected]]),VLOOKUP(TBHPI[[#This Row],[Strand]],coi_ncoi_select,COLUMNS(coi_ncoi_select),FALSE),TBHPI[[#This Row],[CO]])</f>
        <v>NCOI</v>
      </c>
      <c r="H26" s="323">
        <f>VLOOKUP(TBHPI[[#This Row],[Strand]],indSelect_TBHP,6,FALSE)</f>
        <v>0</v>
      </c>
      <c r="I26" s="320" t="str">
        <f>IFERROR(IF(AND(TBHPI[[#This Row],[Selected]],TBHPI[[#This Row],[CO]]="COI/NCOI"),VLOOKUP(TBHPI[[#This Row],[Strand]],indSelect_TBHP,9,FALSE),TBHPI[[#This Row],[CO]]),TBHPI[[#This Row],[CO]])</f>
        <v>NCOI</v>
      </c>
      <c r="J26" s="327" t="b">
        <f>IF(AND(required_cot&gt;=1,TBHPI[[#This Row],[Selected]]),VLOOKUP(TBHPI[[#This Row],[Strand]],indSelect_TBHP,10,FALSE)=1,FALSE)</f>
        <v>0</v>
      </c>
      <c r="K26" s="327" t="b">
        <f>IF(AND(required_cot&gt;=2,TBHPI[[#This Row],[Selected]]),VLOOKUP(TBHPI[[#This Row],[Strand]],indSelect_TBHP,11,FALSE)=1,FALSE)</f>
        <v>0</v>
      </c>
      <c r="L26" s="327" t="b">
        <f>IF(AND(required_cot&gt;=3,TBHPI[[#This Row],[Selected]]),VLOOKUP(TBHPI[[#This Row],[Strand]],indSelect_TBHP,12,FALSE)=1,FALSE)</f>
        <v>0</v>
      </c>
      <c r="M26" s="327" t="b">
        <f>IF(AND(required_cot&gt;=4,TBHPI[[#This Row],[Selected]]),VLOOKUP(TBHPI[[#This Row],[Strand]],indSelect_TBHP,13,FALSE)=1,FALSE)</f>
        <v>0</v>
      </c>
    </row>
    <row r="27" spans="1:13" ht="41.45" customHeight="1" x14ac:dyDescent="0.25">
      <c r="A27" s="22">
        <v>5.3</v>
      </c>
      <c r="B27" s="18" t="s">
        <v>1551</v>
      </c>
      <c r="C27" s="13">
        <v>5</v>
      </c>
      <c r="D27" s="320" t="str">
        <f>IFERROR(IF(AND(COUNTIF(TBHPS[helper],TBHPI[[#This Row],[Strand]]&amp;"-Q-COI")&gt;0,COUNTIF(TBHPS[helper],TBHPI[[#This Row],[Strand]]&amp;"-Q-NCOI")&gt;0),"COI/NCOI",IF(COUNTIF(TBHPS[helper],TBHPI[[#This Row],[Strand]]&amp;"-Q-COI")&gt;0,"COI",IF(COUNTIF(TBHPS[helper],TBHPI[[#This Row],[Strand]]&amp;"-Q-NCOI")&gt;0,"NCOI",""))),"")</f>
        <v>NCOI</v>
      </c>
      <c r="E27" s="13">
        <v>2</v>
      </c>
      <c r="F27" s="327" t="b">
        <f>VLOOKUP(TBHPI[[#This Row],[Strand]],indSelect_TBHP,7,FALSE)</f>
        <v>0</v>
      </c>
      <c r="G27" s="320" t="str">
        <f>IF(AND(career_stage="HP",teacher_type="TB",TBHPI[[#This Row],[CO]]="COI/NCOI",TBHPI[[#This Row],[Selected]]),VLOOKUP(TBHPI[[#This Row],[Strand]],coi_ncoi_select,COLUMNS(coi_ncoi_select),FALSE),TBHPI[[#This Row],[CO]])</f>
        <v>NCOI</v>
      </c>
      <c r="H27" s="323">
        <f>VLOOKUP(TBHPI[[#This Row],[Strand]],indSelect_TBHP,6,FALSE)</f>
        <v>0</v>
      </c>
      <c r="I27" s="320" t="str">
        <f>IFERROR(IF(AND(TBHPI[[#This Row],[Selected]],TBHPI[[#This Row],[CO]]="COI/NCOI"),VLOOKUP(TBHPI[[#This Row],[Strand]],indSelect_TBHP,9,FALSE),TBHPI[[#This Row],[CO]]),TBHPI[[#This Row],[CO]])</f>
        <v>NCOI</v>
      </c>
      <c r="J27" s="327" t="b">
        <f>IF(AND(required_cot&gt;=1,TBHPI[[#This Row],[Selected]]),VLOOKUP(TBHPI[[#This Row],[Strand]],indSelect_TBHP,10,FALSE)=1,FALSE)</f>
        <v>0</v>
      </c>
      <c r="K27" s="327" t="b">
        <f>IF(AND(required_cot&gt;=2,TBHPI[[#This Row],[Selected]]),VLOOKUP(TBHPI[[#This Row],[Strand]],indSelect_TBHP,11,FALSE)=1,FALSE)</f>
        <v>0</v>
      </c>
      <c r="L27" s="327" t="b">
        <f>IF(AND(required_cot&gt;=3,TBHPI[[#This Row],[Selected]]),VLOOKUP(TBHPI[[#This Row],[Strand]],indSelect_TBHP,12,FALSE)=1,FALSE)</f>
        <v>0</v>
      </c>
      <c r="M27" s="327" t="b">
        <f>IF(AND(required_cot&gt;=4,TBHPI[[#This Row],[Selected]]),VLOOKUP(TBHPI[[#This Row],[Strand]],indSelect_TBHP,13,FALSE)=1,FALSE)</f>
        <v>0</v>
      </c>
    </row>
    <row r="28" spans="1:13" ht="45" x14ac:dyDescent="0.25">
      <c r="A28" s="22">
        <v>5.4</v>
      </c>
      <c r="B28" s="18" t="s">
        <v>1553</v>
      </c>
      <c r="C28" s="13">
        <v>5</v>
      </c>
      <c r="D28" s="331" t="str">
        <f>IFERROR(IF(AND(COUNTIF(TBHPS[helper],TBHPI[[#This Row],[Strand]]&amp;"-Q-COI")&gt;0,COUNTIF(TBHPS[helper],TBHPI[[#This Row],[Strand]]&amp;"-Q-NCOI")&gt;0),"COI/NCOI",IF(COUNTIF(TBHPS[helper],TBHPI[[#This Row],[Strand]]&amp;"-Q-COI")&gt;0,"COI",IF(COUNTIF(TBHPS[helper],TBHPI[[#This Row],[Strand]]&amp;"-Q-NCOI")&gt;0,"NCOI",""))),"")</f>
        <v>NCOI</v>
      </c>
      <c r="E28" s="36">
        <v>1</v>
      </c>
      <c r="F28" s="327" t="b">
        <f>VLOOKUP(TBHPI[[#This Row],[Strand]],indSelect_TBHP,7,FALSE)</f>
        <v>0</v>
      </c>
      <c r="G28" s="320" t="str">
        <f>IF(AND(career_stage="HP",teacher_type="TB",TBHPI[[#This Row],[CO]]="COI/NCOI",TBHPI[[#This Row],[Selected]]),VLOOKUP(TBHPI[[#This Row],[Strand]],coi_ncoi_select,COLUMNS(coi_ncoi_select),FALSE),TBHPI[[#This Row],[CO]])</f>
        <v>NCOI</v>
      </c>
      <c r="H28" s="323">
        <f>VLOOKUP(TBHPI[[#This Row],[Strand]],indSelect_TBHP,6,FALSE)</f>
        <v>0</v>
      </c>
      <c r="I28" s="320" t="str">
        <f>IFERROR(IF(AND(TBHPI[[#This Row],[Selected]],TBHPI[[#This Row],[CO]]="COI/NCOI"),VLOOKUP(TBHPI[[#This Row],[Strand]],indSelect_TBHP,9,FALSE),TBHPI[[#This Row],[CO]]),TBHPI[[#This Row],[CO]])</f>
        <v>NCOI</v>
      </c>
      <c r="J28" s="327" t="b">
        <f>IF(AND(required_cot&gt;=1,TBHPI[[#This Row],[Selected]]),VLOOKUP(TBHPI[[#This Row],[Strand]],indSelect_TBHP,10,FALSE)=1,FALSE)</f>
        <v>0</v>
      </c>
      <c r="K28" s="327" t="b">
        <f>IF(AND(required_cot&gt;=2,TBHPI[[#This Row],[Selected]]),VLOOKUP(TBHPI[[#This Row],[Strand]],indSelect_TBHP,11,FALSE)=1,FALSE)</f>
        <v>0</v>
      </c>
      <c r="L28" s="327" t="b">
        <f>IF(AND(required_cot&gt;=3,TBHPI[[#This Row],[Selected]]),VLOOKUP(TBHPI[[#This Row],[Strand]],indSelect_TBHP,12,FALSE)=1,FALSE)</f>
        <v>0</v>
      </c>
      <c r="M28" s="327" t="b">
        <f>IF(AND(required_cot&gt;=4,TBHPI[[#This Row],[Selected]]),VLOOKUP(TBHPI[[#This Row],[Strand]],indSelect_TBHP,13,FALSE)=1,FALSE)</f>
        <v>0</v>
      </c>
    </row>
    <row r="29" spans="1:13" ht="60" x14ac:dyDescent="0.25">
      <c r="A29" s="22">
        <v>5.5</v>
      </c>
      <c r="B29" s="19" t="s">
        <v>1555</v>
      </c>
      <c r="C29" s="13">
        <v>5</v>
      </c>
      <c r="D29" s="320" t="str">
        <f>IFERROR(IF(AND(COUNTIF(TBHPS[helper],TBHPI[[#This Row],[Strand]]&amp;"-Q-COI")&gt;0,COUNTIF(TBHPS[helper],TBHPI[[#This Row],[Strand]]&amp;"-Q-NCOI")&gt;0),"COI/NCOI",IF(COUNTIF(TBHPS[helper],TBHPI[[#This Row],[Strand]]&amp;"-Q-COI")&gt;0,"COI",IF(COUNTIF(TBHPS[helper],TBHPI[[#This Row],[Strand]]&amp;"-Q-NCOI")&gt;0,"NCOI",""))),"")</f>
        <v>NCOI</v>
      </c>
      <c r="E29" s="13">
        <v>3</v>
      </c>
      <c r="F29" s="327" t="b">
        <f>VLOOKUP(TBHPI[[#This Row],[Strand]],indSelect_TBHP,7,FALSE)</f>
        <v>0</v>
      </c>
      <c r="G29" s="320" t="str">
        <f>IF(AND(career_stage="HP",teacher_type="TB",TBHPI[[#This Row],[CO]]="COI/NCOI",TBHPI[[#This Row],[Selected]]),VLOOKUP(TBHPI[[#This Row],[Strand]],coi_ncoi_select,COLUMNS(coi_ncoi_select),FALSE),TBHPI[[#This Row],[CO]])</f>
        <v>NCOI</v>
      </c>
      <c r="H29" s="323">
        <f>VLOOKUP(TBHPI[[#This Row],[Strand]],indSelect_TBHP,6,FALSE)</f>
        <v>0</v>
      </c>
      <c r="I29" s="320" t="str">
        <f>IFERROR(IF(AND(TBHPI[[#This Row],[Selected]],TBHPI[[#This Row],[CO]]="COI/NCOI"),VLOOKUP(TBHPI[[#This Row],[Strand]],indSelect_TBHP,9,FALSE),TBHPI[[#This Row],[CO]]),TBHPI[[#This Row],[CO]])</f>
        <v>NCOI</v>
      </c>
      <c r="J29" s="327" t="b">
        <f>IF(AND(required_cot&gt;=1,TBHPI[[#This Row],[Selected]]),VLOOKUP(TBHPI[[#This Row],[Strand]],indSelect_TBHP,10,FALSE)=1,FALSE)</f>
        <v>0</v>
      </c>
      <c r="K29" s="327" t="b">
        <f>IF(AND(required_cot&gt;=2,TBHPI[[#This Row],[Selected]]),VLOOKUP(TBHPI[[#This Row],[Strand]],indSelect_TBHP,11,FALSE)=1,FALSE)</f>
        <v>0</v>
      </c>
      <c r="L29" s="327" t="b">
        <f>IF(AND(required_cot&gt;=3,TBHPI[[#This Row],[Selected]]),VLOOKUP(TBHPI[[#This Row],[Strand]],indSelect_TBHP,12,FALSE)=1,FALSE)</f>
        <v>0</v>
      </c>
      <c r="M29" s="327" t="b">
        <f>IF(AND(required_cot&gt;=4,TBHPI[[#This Row],[Selected]]),VLOOKUP(TBHPI[[#This Row],[Strand]],indSelect_TBHP,13,FALSE)=1,FALSE)</f>
        <v>0</v>
      </c>
    </row>
    <row r="30" spans="1:13" ht="28.7" customHeight="1" x14ac:dyDescent="0.25">
      <c r="A30" s="22">
        <v>6.1</v>
      </c>
      <c r="B30" s="19" t="s">
        <v>1557</v>
      </c>
      <c r="C30" s="13">
        <v>6</v>
      </c>
      <c r="D30" s="320" t="str">
        <f>IFERROR(IF(AND(COUNTIF(TBHPS[helper],TBHPI[[#This Row],[Strand]]&amp;"-Q-COI")&gt;0,COUNTIF(TBHPS[helper],TBHPI[[#This Row],[Strand]]&amp;"-Q-NCOI")&gt;0),"COI/NCOI",IF(COUNTIF(TBHPS[helper],TBHPI[[#This Row],[Strand]]&amp;"-Q-COI")&gt;0,"COI",IF(COUNTIF(TBHPS[helper],TBHPI[[#This Row],[Strand]]&amp;"-Q-NCOI")&gt;0,"NCOI",""))),"")</f>
        <v>NCOI</v>
      </c>
      <c r="E30" s="13">
        <v>3</v>
      </c>
      <c r="F30" s="327" t="b">
        <f>VLOOKUP(TBHPI[[#This Row],[Strand]],indSelect_TBHP,7,FALSE)</f>
        <v>0</v>
      </c>
      <c r="G30" s="320" t="str">
        <f>IF(AND(career_stage="HP",teacher_type="TB",TBHPI[[#This Row],[CO]]="COI/NCOI",TBHPI[[#This Row],[Selected]]),VLOOKUP(TBHPI[[#This Row],[Strand]],coi_ncoi_select,COLUMNS(coi_ncoi_select),FALSE),TBHPI[[#This Row],[CO]])</f>
        <v>NCOI</v>
      </c>
      <c r="H30" s="323">
        <f>VLOOKUP(TBHPI[[#This Row],[Strand]],indSelect_TBHP,6,FALSE)</f>
        <v>0</v>
      </c>
      <c r="I30" s="320" t="str">
        <f>IFERROR(IF(AND(TBHPI[[#This Row],[Selected]],TBHPI[[#This Row],[CO]]="COI/NCOI"),VLOOKUP(TBHPI[[#This Row],[Strand]],indSelect_TBHP,9,FALSE),TBHPI[[#This Row],[CO]]),TBHPI[[#This Row],[CO]])</f>
        <v>NCOI</v>
      </c>
      <c r="J30" s="327" t="b">
        <f>IF(AND(required_cot&gt;=1,TBHPI[[#This Row],[Selected]]),VLOOKUP(TBHPI[[#This Row],[Strand]],indSelect_TBHP,10,FALSE)=1,FALSE)</f>
        <v>0</v>
      </c>
      <c r="K30" s="327" t="b">
        <f>IF(AND(required_cot&gt;=2,TBHPI[[#This Row],[Selected]]),VLOOKUP(TBHPI[[#This Row],[Strand]],indSelect_TBHP,11,FALSE)=1,FALSE)</f>
        <v>0</v>
      </c>
      <c r="L30" s="327" t="b">
        <f>IF(AND(required_cot&gt;=3,TBHPI[[#This Row],[Selected]]),VLOOKUP(TBHPI[[#This Row],[Strand]],indSelect_TBHP,12,FALSE)=1,FALSE)</f>
        <v>0</v>
      </c>
      <c r="M30" s="327" t="b">
        <f>IF(AND(required_cot&gt;=4,TBHPI[[#This Row],[Selected]]),VLOOKUP(TBHPI[[#This Row],[Strand]],indSelect_TBHP,13,FALSE)=1,FALSE)</f>
        <v>0</v>
      </c>
    </row>
    <row r="31" spans="1:13" ht="82.7" customHeight="1" x14ac:dyDescent="0.25">
      <c r="A31" s="22">
        <v>6.2</v>
      </c>
      <c r="B31" s="18" t="s">
        <v>1559</v>
      </c>
      <c r="C31" s="13">
        <v>6</v>
      </c>
      <c r="D31" s="320" t="str">
        <f>IFERROR(IF(AND(COUNTIF(TBHPS[helper],TBHPI[[#This Row],[Strand]]&amp;"-Q-COI")&gt;0,COUNTIF(TBHPS[helper],TBHPI[[#This Row],[Strand]]&amp;"-Q-NCOI")&gt;0),"COI/NCOI",IF(COUNTIF(TBHPS[helper],TBHPI[[#This Row],[Strand]]&amp;"-Q-COI")&gt;0,"COI",IF(COUNTIF(TBHPS[helper],TBHPI[[#This Row],[Strand]]&amp;"-Q-NCOI")&gt;0,"NCOI",""))),"")</f>
        <v>NCOI</v>
      </c>
      <c r="E31" s="13">
        <v>2</v>
      </c>
      <c r="F31" s="327" t="b">
        <f>VLOOKUP(TBHPI[[#This Row],[Strand]],indSelect_TBHP,7,FALSE)</f>
        <v>0</v>
      </c>
      <c r="G31" s="320" t="str">
        <f>IF(AND(career_stage="HP",teacher_type="TB",TBHPI[[#This Row],[CO]]="COI/NCOI",TBHPI[[#This Row],[Selected]]),VLOOKUP(TBHPI[[#This Row],[Strand]],coi_ncoi_select,COLUMNS(coi_ncoi_select),FALSE),TBHPI[[#This Row],[CO]])</f>
        <v>NCOI</v>
      </c>
      <c r="H31" s="323">
        <f>VLOOKUP(TBHPI[[#This Row],[Strand]],indSelect_TBHP,6,FALSE)</f>
        <v>0</v>
      </c>
      <c r="I31" s="320" t="str">
        <f>IFERROR(IF(AND(TBHPI[[#This Row],[Selected]],TBHPI[[#This Row],[CO]]="COI/NCOI"),VLOOKUP(TBHPI[[#This Row],[Strand]],indSelect_TBHP,9,FALSE),TBHPI[[#This Row],[CO]]),TBHPI[[#This Row],[CO]])</f>
        <v>NCOI</v>
      </c>
      <c r="J31" s="327" t="b">
        <f>IF(AND(required_cot&gt;=1,TBHPI[[#This Row],[Selected]]),VLOOKUP(TBHPI[[#This Row],[Strand]],indSelect_TBHP,10,FALSE)=1,FALSE)</f>
        <v>0</v>
      </c>
      <c r="K31" s="327" t="b">
        <f>IF(AND(required_cot&gt;=2,TBHPI[[#This Row],[Selected]]),VLOOKUP(TBHPI[[#This Row],[Strand]],indSelect_TBHP,11,FALSE)=1,FALSE)</f>
        <v>0</v>
      </c>
      <c r="L31" s="327" t="b">
        <f>IF(AND(required_cot&gt;=3,TBHPI[[#This Row],[Selected]]),VLOOKUP(TBHPI[[#This Row],[Strand]],indSelect_TBHP,12,FALSE)=1,FALSE)</f>
        <v>0</v>
      </c>
      <c r="M31" s="327" t="b">
        <f>IF(AND(required_cot&gt;=4,TBHPI[[#This Row],[Selected]]),VLOOKUP(TBHPI[[#This Row],[Strand]],indSelect_TBHP,13,FALSE)=1,FALSE)</f>
        <v>0</v>
      </c>
    </row>
    <row r="32" spans="1:13" ht="75" x14ac:dyDescent="0.25">
      <c r="A32" s="22">
        <v>6.3</v>
      </c>
      <c r="B32" s="19" t="s">
        <v>1561</v>
      </c>
      <c r="C32" s="13">
        <v>6</v>
      </c>
      <c r="D32" s="320" t="str">
        <f>IFERROR(IF(AND(COUNTIF(TBHPS[helper],TBHPI[[#This Row],[Strand]]&amp;"-Q-COI")&gt;0,COUNTIF(TBHPS[helper],TBHPI[[#This Row],[Strand]]&amp;"-Q-NCOI")&gt;0),"COI/NCOI",IF(COUNTIF(TBHPS[helper],TBHPI[[#This Row],[Strand]]&amp;"-Q-COI")&gt;0,"COI",IF(COUNTIF(TBHPS[helper],TBHPI[[#This Row],[Strand]]&amp;"-Q-NCOI")&gt;0,"NCOI",""))),"")</f>
        <v>NCOI</v>
      </c>
      <c r="E32" s="13">
        <v>3</v>
      </c>
      <c r="F32" s="327" t="b">
        <f>VLOOKUP(TBHPI[[#This Row],[Strand]],indSelect_TBHP,7,FALSE)</f>
        <v>0</v>
      </c>
      <c r="G32" s="320" t="str">
        <f>IF(AND(career_stage="HP",teacher_type="TB",TBHPI[[#This Row],[CO]]="COI/NCOI",TBHPI[[#This Row],[Selected]]),VLOOKUP(TBHPI[[#This Row],[Strand]],coi_ncoi_select,COLUMNS(coi_ncoi_select),FALSE),TBHPI[[#This Row],[CO]])</f>
        <v>NCOI</v>
      </c>
      <c r="H32" s="323">
        <f>VLOOKUP(TBHPI[[#This Row],[Strand]],indSelect_TBHP,6,FALSE)</f>
        <v>0</v>
      </c>
      <c r="I32" s="320" t="str">
        <f>IFERROR(IF(AND(TBHPI[[#This Row],[Selected]],TBHPI[[#This Row],[CO]]="COI/NCOI"),VLOOKUP(TBHPI[[#This Row],[Strand]],indSelect_TBHP,9,FALSE),TBHPI[[#This Row],[CO]]),TBHPI[[#This Row],[CO]])</f>
        <v>NCOI</v>
      </c>
      <c r="J32" s="327" t="b">
        <f>IF(AND(required_cot&gt;=1,TBHPI[[#This Row],[Selected]]),VLOOKUP(TBHPI[[#This Row],[Strand]],indSelect_TBHP,10,FALSE)=1,FALSE)</f>
        <v>0</v>
      </c>
      <c r="K32" s="327" t="b">
        <f>IF(AND(required_cot&gt;=2,TBHPI[[#This Row],[Selected]]),VLOOKUP(TBHPI[[#This Row],[Strand]],indSelect_TBHP,11,FALSE)=1,FALSE)</f>
        <v>0</v>
      </c>
      <c r="L32" s="327" t="b">
        <f>IF(AND(required_cot&gt;=3,TBHPI[[#This Row],[Selected]]),VLOOKUP(TBHPI[[#This Row],[Strand]],indSelect_TBHP,12,FALSE)=1,FALSE)</f>
        <v>0</v>
      </c>
      <c r="M32" s="327" t="b">
        <f>IF(AND(required_cot&gt;=4,TBHPI[[#This Row],[Selected]]),VLOOKUP(TBHPI[[#This Row],[Strand]],indSelect_TBHP,13,FALSE)=1,FALSE)</f>
        <v>0</v>
      </c>
    </row>
    <row r="33" spans="1:13" ht="75" x14ac:dyDescent="0.25">
      <c r="A33" s="22">
        <v>6.4</v>
      </c>
      <c r="B33" s="19" t="s">
        <v>1563</v>
      </c>
      <c r="C33" s="13">
        <v>6</v>
      </c>
      <c r="D33" s="320" t="str">
        <f>IFERROR(IF(AND(COUNTIF(TBHPS[helper],TBHPI[[#This Row],[Strand]]&amp;"-Q-COI")&gt;0,COUNTIF(TBHPS[helper],TBHPI[[#This Row],[Strand]]&amp;"-Q-NCOI")&gt;0),"COI/NCOI",IF(COUNTIF(TBHPS[helper],TBHPI[[#This Row],[Strand]]&amp;"-Q-COI")&gt;0,"COI",IF(COUNTIF(TBHPS[helper],TBHPI[[#This Row],[Strand]]&amp;"-Q-NCOI")&gt;0,"NCOI",""))),"")</f>
        <v>NCOI</v>
      </c>
      <c r="E33" s="13">
        <v>3</v>
      </c>
      <c r="F33" s="327" t="b">
        <f>VLOOKUP(TBHPI[[#This Row],[Strand]],indSelect_TBHP,7,FALSE)</f>
        <v>0</v>
      </c>
      <c r="G33" s="320" t="str">
        <f>IF(AND(career_stage="HP",teacher_type="TB",TBHPI[[#This Row],[CO]]="COI/NCOI",TBHPI[[#This Row],[Selected]]),VLOOKUP(TBHPI[[#This Row],[Strand]],coi_ncoi_select,COLUMNS(coi_ncoi_select),FALSE),TBHPI[[#This Row],[CO]])</f>
        <v>NCOI</v>
      </c>
      <c r="H33" s="323">
        <f>VLOOKUP(TBHPI[[#This Row],[Strand]],indSelect_TBHP,6,FALSE)</f>
        <v>0</v>
      </c>
      <c r="I33" s="320" t="str">
        <f>IFERROR(IF(AND(TBHPI[[#This Row],[Selected]],TBHPI[[#This Row],[CO]]="COI/NCOI"),VLOOKUP(TBHPI[[#This Row],[Strand]],indSelect_TBHP,9,FALSE),TBHPI[[#This Row],[CO]]),TBHPI[[#This Row],[CO]])</f>
        <v>NCOI</v>
      </c>
      <c r="J33" s="327" t="b">
        <f>IF(AND(required_cot&gt;=1,TBHPI[[#This Row],[Selected]]),VLOOKUP(TBHPI[[#This Row],[Strand]],indSelect_TBHP,10,FALSE)=1,FALSE)</f>
        <v>0</v>
      </c>
      <c r="K33" s="327" t="b">
        <f>IF(AND(required_cot&gt;=2,TBHPI[[#This Row],[Selected]]),VLOOKUP(TBHPI[[#This Row],[Strand]],indSelect_TBHP,11,FALSE)=1,FALSE)</f>
        <v>0</v>
      </c>
      <c r="L33" s="327" t="b">
        <f>IF(AND(required_cot&gt;=3,TBHPI[[#This Row],[Selected]]),VLOOKUP(TBHPI[[#This Row],[Strand]],indSelect_TBHP,12,FALSE)=1,FALSE)</f>
        <v>0</v>
      </c>
      <c r="M33" s="327" t="b">
        <f>IF(AND(required_cot&gt;=4,TBHPI[[#This Row],[Selected]]),VLOOKUP(TBHPI[[#This Row],[Strand]],indSelect_TBHP,13,FALSE)=1,FALSE)</f>
        <v>0</v>
      </c>
    </row>
    <row r="34" spans="1:13" ht="60" x14ac:dyDescent="0.25">
      <c r="A34" s="22">
        <v>7.1</v>
      </c>
      <c r="B34" s="19" t="s">
        <v>1565</v>
      </c>
      <c r="C34" s="13">
        <v>7</v>
      </c>
      <c r="D34" s="320" t="str">
        <f>IFERROR(IF(AND(COUNTIF(TBHPS[helper],TBHPI[[#This Row],[Strand]]&amp;"-Q-COI")&gt;0,COUNTIF(TBHPS[helper],TBHPI[[#This Row],[Strand]]&amp;"-Q-NCOI")&gt;0),"COI/NCOI",IF(COUNTIF(TBHPS[helper],TBHPI[[#This Row],[Strand]]&amp;"-Q-COI")&gt;0,"COI",IF(COUNTIF(TBHPS[helper],TBHPI[[#This Row],[Strand]]&amp;"-Q-NCOI")&gt;0,"NCOI",""))),"")</f>
        <v>NCOI</v>
      </c>
      <c r="E34" s="13">
        <v>3</v>
      </c>
      <c r="F34" s="327" t="b">
        <f>VLOOKUP(TBHPI[[#This Row],[Strand]],indSelect_TBHP,7,FALSE)</f>
        <v>0</v>
      </c>
      <c r="G34" s="320" t="str">
        <f>IF(AND(career_stage="HP",teacher_type="TB",TBHPI[[#This Row],[CO]]="COI/NCOI",TBHPI[[#This Row],[Selected]]),VLOOKUP(TBHPI[[#This Row],[Strand]],coi_ncoi_select,COLUMNS(coi_ncoi_select),FALSE),TBHPI[[#This Row],[CO]])</f>
        <v>NCOI</v>
      </c>
      <c r="H34" s="323">
        <f>VLOOKUP(TBHPI[[#This Row],[Strand]],indSelect_TBHP,6,FALSE)</f>
        <v>0</v>
      </c>
      <c r="I34" s="320" t="str">
        <f>IFERROR(IF(AND(TBHPI[[#This Row],[Selected]],TBHPI[[#This Row],[CO]]="COI/NCOI"),VLOOKUP(TBHPI[[#This Row],[Strand]],indSelect_TBHP,9,FALSE),TBHPI[[#This Row],[CO]]),TBHPI[[#This Row],[CO]])</f>
        <v>NCOI</v>
      </c>
      <c r="J34" s="327" t="b">
        <f>IF(AND(required_cot&gt;=1,TBHPI[[#This Row],[Selected]]),VLOOKUP(TBHPI[[#This Row],[Strand]],indSelect_TBHP,10,FALSE)=1,FALSE)</f>
        <v>0</v>
      </c>
      <c r="K34" s="327" t="b">
        <f>IF(AND(required_cot&gt;=2,TBHPI[[#This Row],[Selected]]),VLOOKUP(TBHPI[[#This Row],[Strand]],indSelect_TBHP,11,FALSE)=1,FALSE)</f>
        <v>0</v>
      </c>
      <c r="L34" s="327" t="b">
        <f>IF(AND(required_cot&gt;=3,TBHPI[[#This Row],[Selected]]),VLOOKUP(TBHPI[[#This Row],[Strand]],indSelect_TBHP,12,FALSE)=1,FALSE)</f>
        <v>0</v>
      </c>
      <c r="M34" s="327" t="b">
        <f>IF(AND(required_cot&gt;=4,TBHPI[[#This Row],[Selected]]),VLOOKUP(TBHPI[[#This Row],[Strand]],indSelect_TBHP,13,FALSE)=1,FALSE)</f>
        <v>0</v>
      </c>
    </row>
    <row r="35" spans="1:13" ht="60" x14ac:dyDescent="0.25">
      <c r="A35" s="22">
        <v>7.2</v>
      </c>
      <c r="B35" s="19" t="s">
        <v>1567</v>
      </c>
      <c r="C35" s="13">
        <v>7</v>
      </c>
      <c r="D35" s="320" t="str">
        <f>IFERROR(IF(AND(COUNTIF(TBHPS[helper],TBHPI[[#This Row],[Strand]]&amp;"-Q-COI")&gt;0,COUNTIF(TBHPS[helper],TBHPI[[#This Row],[Strand]]&amp;"-Q-NCOI")&gt;0),"COI/NCOI",IF(COUNTIF(TBHPS[helper],TBHPI[[#This Row],[Strand]]&amp;"-Q-COI")&gt;0,"COI",IF(COUNTIF(TBHPS[helper],TBHPI[[#This Row],[Strand]]&amp;"-Q-NCOI")&gt;0,"NCOI",""))),"")</f>
        <v>NCOI</v>
      </c>
      <c r="E35" s="13">
        <v>3</v>
      </c>
      <c r="F35" s="327" t="b">
        <f>VLOOKUP(TBHPI[[#This Row],[Strand]],indSelect_TBHP,7,FALSE)</f>
        <v>0</v>
      </c>
      <c r="G35" s="320" t="str">
        <f>IF(AND(career_stage="HP",teacher_type="TB",TBHPI[[#This Row],[CO]]="COI/NCOI",TBHPI[[#This Row],[Selected]]),VLOOKUP(TBHPI[[#This Row],[Strand]],coi_ncoi_select,COLUMNS(coi_ncoi_select),FALSE),TBHPI[[#This Row],[CO]])</f>
        <v>NCOI</v>
      </c>
      <c r="H35" s="323">
        <f>VLOOKUP(TBHPI[[#This Row],[Strand]],indSelect_TBHP,6,FALSE)</f>
        <v>0</v>
      </c>
      <c r="I35" s="320" t="str">
        <f>IFERROR(IF(AND(TBHPI[[#This Row],[Selected]],TBHPI[[#This Row],[CO]]="COI/NCOI"),VLOOKUP(TBHPI[[#This Row],[Strand]],indSelect_TBHP,9,FALSE),TBHPI[[#This Row],[CO]]),TBHPI[[#This Row],[CO]])</f>
        <v>NCOI</v>
      </c>
      <c r="J35" s="327" t="b">
        <f>IF(AND(required_cot&gt;=1,TBHPI[[#This Row],[Selected]]),VLOOKUP(TBHPI[[#This Row],[Strand]],indSelect_TBHP,10,FALSE)=1,FALSE)</f>
        <v>0</v>
      </c>
      <c r="K35" s="327" t="b">
        <f>IF(AND(required_cot&gt;=2,TBHPI[[#This Row],[Selected]]),VLOOKUP(TBHPI[[#This Row],[Strand]],indSelect_TBHP,11,FALSE)=1,FALSE)</f>
        <v>0</v>
      </c>
      <c r="L35" s="327" t="b">
        <f>IF(AND(required_cot&gt;=3,TBHPI[[#This Row],[Selected]]),VLOOKUP(TBHPI[[#This Row],[Strand]],indSelect_TBHP,12,FALSE)=1,FALSE)</f>
        <v>0</v>
      </c>
      <c r="M35" s="327" t="b">
        <f>IF(AND(required_cot&gt;=4,TBHPI[[#This Row],[Selected]]),VLOOKUP(TBHPI[[#This Row],[Strand]],indSelect_TBHP,13,FALSE)=1,FALSE)</f>
        <v>0</v>
      </c>
    </row>
    <row r="36" spans="1:13" ht="45" x14ac:dyDescent="0.25">
      <c r="A36" s="22">
        <v>7.3</v>
      </c>
      <c r="B36" s="18" t="s">
        <v>1569</v>
      </c>
      <c r="C36" s="13">
        <v>7</v>
      </c>
      <c r="D36" s="320" t="str">
        <f>IFERROR(IF(AND(COUNTIF(TBHPS[helper],TBHPI[[#This Row],[Strand]]&amp;"-Q-COI")&gt;0,COUNTIF(TBHPS[helper],TBHPI[[#This Row],[Strand]]&amp;"-Q-NCOI")&gt;0),"COI/NCOI",IF(COUNTIF(TBHPS[helper],TBHPI[[#This Row],[Strand]]&amp;"-Q-COI")&gt;0,"COI",IF(COUNTIF(TBHPS[helper],TBHPI[[#This Row],[Strand]]&amp;"-Q-NCOI")&gt;0,"NCOI",""))),"")</f>
        <v>NCOI</v>
      </c>
      <c r="E36" s="13">
        <v>2</v>
      </c>
      <c r="F36" s="327" t="b">
        <f>VLOOKUP(TBHPI[[#This Row],[Strand]],indSelect_TBHP,7,FALSE)</f>
        <v>0</v>
      </c>
      <c r="G36" s="320" t="str">
        <f>IF(AND(career_stage="HP",teacher_type="TB",TBHPI[[#This Row],[CO]]="COI/NCOI",TBHPI[[#This Row],[Selected]]),VLOOKUP(TBHPI[[#This Row],[Strand]],coi_ncoi_select,COLUMNS(coi_ncoi_select),FALSE),TBHPI[[#This Row],[CO]])</f>
        <v>NCOI</v>
      </c>
      <c r="H36" s="323">
        <f>VLOOKUP(TBHPI[[#This Row],[Strand]],indSelect_TBHP,6,FALSE)</f>
        <v>0</v>
      </c>
      <c r="I36" s="320" t="str">
        <f>IFERROR(IF(AND(TBHPI[[#This Row],[Selected]],TBHPI[[#This Row],[CO]]="COI/NCOI"),VLOOKUP(TBHPI[[#This Row],[Strand]],indSelect_TBHP,9,FALSE),TBHPI[[#This Row],[CO]]),TBHPI[[#This Row],[CO]])</f>
        <v>NCOI</v>
      </c>
      <c r="J36" s="327" t="b">
        <f>IF(AND(required_cot&gt;=1,TBHPI[[#This Row],[Selected]]),VLOOKUP(TBHPI[[#This Row],[Strand]],indSelect_TBHP,10,FALSE)=1,FALSE)</f>
        <v>0</v>
      </c>
      <c r="K36" s="327" t="b">
        <f>IF(AND(required_cot&gt;=2,TBHPI[[#This Row],[Selected]]),VLOOKUP(TBHPI[[#This Row],[Strand]],indSelect_TBHP,11,FALSE)=1,FALSE)</f>
        <v>0</v>
      </c>
      <c r="L36" s="327" t="b">
        <f>IF(AND(required_cot&gt;=3,TBHPI[[#This Row],[Selected]]),VLOOKUP(TBHPI[[#This Row],[Strand]],indSelect_TBHP,12,FALSE)=1,FALSE)</f>
        <v>0</v>
      </c>
      <c r="M36" s="327" t="b">
        <f>IF(AND(required_cot&gt;=4,TBHPI[[#This Row],[Selected]]),VLOOKUP(TBHPI[[#This Row],[Strand]],indSelect_TBHP,13,FALSE)=1,FALSE)</f>
        <v>0</v>
      </c>
    </row>
    <row r="37" spans="1:13" ht="48.6" customHeight="1" x14ac:dyDescent="0.25">
      <c r="A37" s="22">
        <v>7.4</v>
      </c>
      <c r="B37" s="18" t="s">
        <v>1571</v>
      </c>
      <c r="C37" s="13">
        <v>7</v>
      </c>
      <c r="D37" s="320" t="str">
        <f>IFERROR(IF(AND(COUNTIF(TBHPS[helper],TBHPI[[#This Row],[Strand]]&amp;"-Q-COI")&gt;0,COUNTIF(TBHPS[helper],TBHPI[[#This Row],[Strand]]&amp;"-Q-NCOI")&gt;0),"COI/NCOI",IF(COUNTIF(TBHPS[helper],TBHPI[[#This Row],[Strand]]&amp;"-Q-COI")&gt;0,"COI",IF(COUNTIF(TBHPS[helper],TBHPI[[#This Row],[Strand]]&amp;"-Q-NCOI")&gt;0,"NCOI",""))),"")</f>
        <v>NCOI</v>
      </c>
      <c r="E37" s="13">
        <v>2</v>
      </c>
      <c r="F37" s="327" t="b">
        <f>VLOOKUP(TBHPI[[#This Row],[Strand]],indSelect_TBHP,7,FALSE)</f>
        <v>0</v>
      </c>
      <c r="G37" s="320" t="str">
        <f>IF(AND(career_stage="HP",teacher_type="TB",TBHPI[[#This Row],[CO]]="COI/NCOI",TBHPI[[#This Row],[Selected]]),VLOOKUP(TBHPI[[#This Row],[Strand]],coi_ncoi_select,COLUMNS(coi_ncoi_select),FALSE),TBHPI[[#This Row],[CO]])</f>
        <v>NCOI</v>
      </c>
      <c r="H37" s="323">
        <f>VLOOKUP(TBHPI[[#This Row],[Strand]],indSelect_TBHP,6,FALSE)</f>
        <v>0</v>
      </c>
      <c r="I37" s="320" t="str">
        <f>IFERROR(IF(AND(TBHPI[[#This Row],[Selected]],TBHPI[[#This Row],[CO]]="COI/NCOI"),VLOOKUP(TBHPI[[#This Row],[Strand]],indSelect_TBHP,9,FALSE),TBHPI[[#This Row],[CO]]),TBHPI[[#This Row],[CO]])</f>
        <v>NCOI</v>
      </c>
      <c r="J37" s="327" t="b">
        <f>IF(AND(required_cot&gt;=1,TBHPI[[#This Row],[Selected]]),VLOOKUP(TBHPI[[#This Row],[Strand]],indSelect_TBHP,10,FALSE)=1,FALSE)</f>
        <v>0</v>
      </c>
      <c r="K37" s="327" t="b">
        <f>IF(AND(required_cot&gt;=2,TBHPI[[#This Row],[Selected]]),VLOOKUP(TBHPI[[#This Row],[Strand]],indSelect_TBHP,11,FALSE)=1,FALSE)</f>
        <v>0</v>
      </c>
      <c r="L37" s="327" t="b">
        <f>IF(AND(required_cot&gt;=3,TBHPI[[#This Row],[Selected]]),VLOOKUP(TBHPI[[#This Row],[Strand]],indSelect_TBHP,12,FALSE)=1,FALSE)</f>
        <v>0</v>
      </c>
      <c r="M37" s="327" t="b">
        <f>IF(AND(required_cot&gt;=4,TBHPI[[#This Row],[Selected]]),VLOOKUP(TBHPI[[#This Row],[Strand]],indSelect_TBHP,13,FALSE)=1,FALSE)</f>
        <v>0</v>
      </c>
    </row>
    <row r="38" spans="1:13" ht="75" x14ac:dyDescent="0.25">
      <c r="A38" s="22">
        <v>7.5</v>
      </c>
      <c r="B38" s="19" t="s">
        <v>1573</v>
      </c>
      <c r="C38" s="13">
        <v>7</v>
      </c>
      <c r="D38" s="320" t="str">
        <f>IFERROR(IF(AND(COUNTIF(TBHPS[helper],TBHPI[[#This Row],[Strand]]&amp;"-Q-COI")&gt;0,COUNTIF(TBHPS[helper],TBHPI[[#This Row],[Strand]]&amp;"-Q-NCOI")&gt;0),"COI/NCOI",IF(COUNTIF(TBHPS[helper],TBHPI[[#This Row],[Strand]]&amp;"-Q-COI")&gt;0,"COI",IF(COUNTIF(TBHPS[helper],TBHPI[[#This Row],[Strand]]&amp;"-Q-NCOI")&gt;0,"NCOI",""))),"")</f>
        <v>NCOI</v>
      </c>
      <c r="E38" s="13">
        <v>3</v>
      </c>
      <c r="F38" s="327" t="b">
        <f>VLOOKUP(TBHPI[[#This Row],[Strand]],indSelect_TBHP,7,FALSE)</f>
        <v>0</v>
      </c>
      <c r="G38" s="320" t="str">
        <f>IF(AND(career_stage="HP",teacher_type="TB",TBHPI[[#This Row],[CO]]="COI/NCOI",TBHPI[[#This Row],[Selected]]),VLOOKUP(TBHPI[[#This Row],[Strand]],coi_ncoi_select,COLUMNS(coi_ncoi_select),FALSE),TBHPI[[#This Row],[CO]])</f>
        <v>NCOI</v>
      </c>
      <c r="H38" s="323">
        <f>VLOOKUP(TBHPI[[#This Row],[Strand]],indSelect_TBHP,6,FALSE)</f>
        <v>0</v>
      </c>
      <c r="I38" s="320" t="str">
        <f>IFERROR(IF(AND(TBHPI[[#This Row],[Selected]],TBHPI[[#This Row],[CO]]="COI/NCOI"),VLOOKUP(TBHPI[[#This Row],[Strand]],indSelect_TBHP,9,FALSE),TBHPI[[#This Row],[CO]]),TBHPI[[#This Row],[CO]])</f>
        <v>NCOI</v>
      </c>
      <c r="J38" s="327" t="b">
        <f>IF(AND(required_cot&gt;=1,TBHPI[[#This Row],[Selected]]),VLOOKUP(TBHPI[[#This Row],[Strand]],indSelect_TBHP,10,FALSE)=1,FALSE)</f>
        <v>0</v>
      </c>
      <c r="K38" s="327" t="b">
        <f>IF(AND(required_cot&gt;=2,TBHPI[[#This Row],[Selected]]),VLOOKUP(TBHPI[[#This Row],[Strand]],indSelect_TBHP,11,FALSE)=1,FALSE)</f>
        <v>0</v>
      </c>
      <c r="L38" s="327" t="b">
        <f>IF(AND(required_cot&gt;=3,TBHPI[[#This Row],[Selected]]),VLOOKUP(TBHPI[[#This Row],[Strand]],indSelect_TBHP,12,FALSE)=1,FALSE)</f>
        <v>0</v>
      </c>
      <c r="M38" s="327" t="b">
        <f>IF(AND(required_cot&gt;=4,TBHPI[[#This Row],[Selected]]),VLOOKUP(TBHPI[[#This Row],[Strand]],indSelect_TBHP,13,FALSE)=1,FALSE)</f>
        <v>0</v>
      </c>
    </row>
    <row r="39" spans="1:13" ht="67.7" customHeight="1" x14ac:dyDescent="0.25">
      <c r="A39" s="401">
        <v>15</v>
      </c>
      <c r="B39" s="25" t="s">
        <v>1574</v>
      </c>
      <c r="C39" s="26">
        <v>8</v>
      </c>
      <c r="D39" s="324" t="str">
        <f>IFERROR(IF(AND(COUNTIF(TBHPS[helper],TBHPI[[#This Row],[Strand]]&amp;"-Q-COI")&gt;0,COUNTIF(TBHPS[helper],TBHPI[[#This Row],[Strand]]&amp;"-Q-NCOI")&gt;0),"COI/NCOI",IF(COUNTIF(TBHPS[helper],TBHPI[[#This Row],[Strand]]&amp;"-Q-COI")&gt;0,"COI",IF(COUNTIF(TBHPS[helper],TBHPI[[#This Row],[Strand]]&amp;"-Q-NCOI")&gt;0,"NCOI",""))),"")</f>
        <v>NCOI</v>
      </c>
      <c r="E39" s="13">
        <v>3</v>
      </c>
      <c r="F39" s="327" t="b">
        <f>VLOOKUP(TBHPI[[#This Row],[Strand]],indSelect_TBHP,7,FALSE)</f>
        <v>1</v>
      </c>
      <c r="G39" s="320" t="str">
        <f>IF(AND(career_stage="HP",teacher_type="TB",TBHPI[[#This Row],[CO]]="COI/NCOI",TBHPI[[#This Row],[Selected]]),VLOOKUP(TBHPI[[#This Row],[Strand]],coi_ncoi_select,COLUMNS(coi_ncoi_select),FALSE),TBHPI[[#This Row],[CO]])</f>
        <v>NCOI</v>
      </c>
      <c r="H39" s="323">
        <f>VLOOKUP(TBHPI[[#This Row],[Strand]],indSelect_TBHP,6,FALSE)</f>
        <v>0</v>
      </c>
      <c r="I39" s="320" t="str">
        <f>IFERROR(IF(AND(TBHPI[[#This Row],[Selected]],TBHPI[[#This Row],[CO]]="COI/NCOI"),VLOOKUP(TBHPI[[#This Row],[Strand]],indSelect_TBHP,9,FALSE),TBHPI[[#This Row],[CO]]),TBHPI[[#This Row],[CO]])</f>
        <v>NCOI</v>
      </c>
      <c r="J39" s="327" t="b">
        <f>IF(AND(required_cot&gt;=1,TBHPI[[#This Row],[Selected]]),VLOOKUP(TBHPI[[#This Row],[Strand]],indSelect_TBHP,10,FALSE)=1,FALSE)</f>
        <v>0</v>
      </c>
      <c r="K39" s="327" t="b">
        <f>IF(AND(required_cot&gt;=2,TBHPI[[#This Row],[Selected]]),VLOOKUP(TBHPI[[#This Row],[Strand]],indSelect_TBHP,11,FALSE)=1,FALSE)</f>
        <v>0</v>
      </c>
      <c r="L39" s="327" t="b">
        <f>IF(AND(required_cot&gt;=3,TBHPI[[#This Row],[Selected]]),VLOOKUP(TBHPI[[#This Row],[Strand]],indSelect_TBHP,12,FALSE)=1,FALSE)</f>
        <v>0</v>
      </c>
      <c r="M39" s="327" t="b">
        <f>IF(AND(required_cot&gt;=4,TBHPI[[#This Row],[Selected]]),VLOOKUP(TBHPI[[#This Row],[Strand]],indSelect_TBHP,13,FALSE)=1,FALSE)</f>
        <v>0</v>
      </c>
    </row>
  </sheetData>
  <sheetProtection algorithmName="SHA-512" hashValue="zdjVz3BN1dqnQ0J/Kf4NUXEAaj0tDwcORYNn7x0H9rC9lbyvToiQqMUyOTTM31dY8iqixsEdq5jdOXbB0hXANw==" saltValue="4p/sPlUk56vpxT00GB+Dwg==" spinCount="100000" sheet="1" objects="1" scenarios="1" selectLockedCells="1" selectUnlockedCells="1"/>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5CF14-11D2-4216-A199-61DBF4FB2F3D}">
  <sheetPr codeName="TBHPS_Sheet"/>
  <dimension ref="A1:J55"/>
  <sheetViews>
    <sheetView zoomScale="140" zoomScaleNormal="140" workbookViewId="0">
      <pane ySplit="1" topLeftCell="A22" activePane="bottomLeft" state="frozen"/>
      <selection activeCell="B6" sqref="B6"/>
      <selection pane="bottomLeft" activeCell="B6" sqref="B6"/>
    </sheetView>
  </sheetViews>
  <sheetFormatPr defaultColWidth="8.85546875" defaultRowHeight="15" x14ac:dyDescent="0.25"/>
  <cols>
    <col min="1" max="1" width="11.85546875" style="6" customWidth="1"/>
    <col min="2" max="2" width="10.28515625" style="6" customWidth="1"/>
    <col min="3" max="3" width="5.140625" style="6" customWidth="1"/>
    <col min="4" max="4" width="6.140625" style="6" customWidth="1"/>
    <col min="5" max="5" width="12" style="6" customWidth="1"/>
    <col min="6" max="10" width="31.85546875" style="5" customWidth="1"/>
    <col min="11" max="16384" width="8.85546875" style="5"/>
  </cols>
  <sheetData>
    <row r="1" spans="1:10" s="1" customFormat="1" x14ac:dyDescent="0.25">
      <c r="A1" s="20" t="s">
        <v>882</v>
      </c>
      <c r="B1" s="23" t="s">
        <v>884</v>
      </c>
      <c r="C1" s="23" t="s">
        <v>885</v>
      </c>
      <c r="D1" s="23" t="s">
        <v>1176</v>
      </c>
      <c r="E1" s="23" t="s">
        <v>1181</v>
      </c>
      <c r="F1" s="23" t="s">
        <v>773</v>
      </c>
      <c r="G1" s="23" t="s">
        <v>764</v>
      </c>
      <c r="H1" s="23" t="s">
        <v>751</v>
      </c>
      <c r="I1" s="23" t="s">
        <v>732</v>
      </c>
      <c r="J1" s="21" t="s">
        <v>714</v>
      </c>
    </row>
    <row r="2" spans="1:10" ht="36" x14ac:dyDescent="0.25">
      <c r="A2" s="22">
        <v>1.1000000000000001</v>
      </c>
      <c r="B2" s="13" t="s">
        <v>731</v>
      </c>
      <c r="C2" s="13">
        <v>2</v>
      </c>
      <c r="D2" s="13" t="s">
        <v>1012</v>
      </c>
      <c r="E2" s="320" t="str">
        <f>TBHPS[[#This Row],[Strand]]&amp;"-"&amp;TBHPS[[#This Row],[QET]]&amp;"-"&amp;TBHPS[[#This Row],[CO]]</f>
        <v>1.1-Q-COI</v>
      </c>
      <c r="F2" s="15" t="s">
        <v>1606</v>
      </c>
      <c r="G2" s="15" t="s">
        <v>1607</v>
      </c>
      <c r="H2" s="15" t="s">
        <v>1608</v>
      </c>
      <c r="I2" s="15" t="s">
        <v>1609</v>
      </c>
      <c r="J2" s="27" t="s">
        <v>1610</v>
      </c>
    </row>
    <row r="3" spans="1:10" ht="36" x14ac:dyDescent="0.25">
      <c r="A3" s="22">
        <v>1.1000000000000001</v>
      </c>
      <c r="B3" s="13" t="s">
        <v>731</v>
      </c>
      <c r="C3" s="13">
        <v>3</v>
      </c>
      <c r="D3" s="13" t="s">
        <v>1012</v>
      </c>
      <c r="E3" s="320" t="str">
        <f>TBHPS[[#This Row],[Strand]]&amp;"-"&amp;TBHPS[[#This Row],[QET]]&amp;"-"&amp;TBHPS[[#This Row],[CO]]</f>
        <v>1.1-Q-COI</v>
      </c>
      <c r="F3" s="15" t="s">
        <v>1606</v>
      </c>
      <c r="G3" s="15" t="s">
        <v>1607</v>
      </c>
      <c r="H3" s="15" t="s">
        <v>1608</v>
      </c>
      <c r="I3" s="15" t="s">
        <v>1609</v>
      </c>
      <c r="J3" s="27" t="s">
        <v>1610</v>
      </c>
    </row>
    <row r="4" spans="1:10" ht="36" x14ac:dyDescent="0.25">
      <c r="A4" s="22">
        <v>1.2</v>
      </c>
      <c r="B4" s="36" t="s">
        <v>750</v>
      </c>
      <c r="C4" s="36">
        <v>1</v>
      </c>
      <c r="D4" s="36" t="s">
        <v>1012</v>
      </c>
      <c r="E4" s="331" t="str">
        <f>TBHPS[[#This Row],[Strand]]&amp;"-"&amp;TBHPS[[#This Row],[QET]]&amp;"-"&amp;TBHPS[[#This Row],[CO]]</f>
        <v>1.2-Q-NCOI</v>
      </c>
      <c r="F4" s="38" t="s">
        <v>1577</v>
      </c>
      <c r="G4" s="38" t="s">
        <v>1578</v>
      </c>
      <c r="H4" s="38" t="s">
        <v>1579</v>
      </c>
      <c r="I4" s="38" t="s">
        <v>1580</v>
      </c>
      <c r="J4" s="42" t="s">
        <v>1354</v>
      </c>
    </row>
    <row r="5" spans="1:10" ht="24" x14ac:dyDescent="0.25">
      <c r="A5" s="22">
        <v>1.2</v>
      </c>
      <c r="B5" s="36" t="s">
        <v>750</v>
      </c>
      <c r="C5" s="36">
        <v>1</v>
      </c>
      <c r="D5" s="36" t="s">
        <v>1073</v>
      </c>
      <c r="E5" s="331" t="str">
        <f>TBHPS[[#This Row],[Strand]]&amp;"-"&amp;TBHPS[[#This Row],[QET]]&amp;"-"&amp;TBHPS[[#This Row],[CO]]</f>
        <v>1.2-E-NCOI</v>
      </c>
      <c r="F5" s="38" t="s">
        <v>1581</v>
      </c>
      <c r="G5" s="38" t="s">
        <v>1582</v>
      </c>
      <c r="H5" s="38" t="s">
        <v>1583</v>
      </c>
      <c r="I5" s="38" t="s">
        <v>1584</v>
      </c>
      <c r="J5" s="42" t="s">
        <v>1354</v>
      </c>
    </row>
    <row r="6" spans="1:10" ht="24" x14ac:dyDescent="0.25">
      <c r="A6" s="22">
        <v>1.2</v>
      </c>
      <c r="B6" s="36" t="s">
        <v>750</v>
      </c>
      <c r="C6" s="36">
        <v>1</v>
      </c>
      <c r="D6" s="36" t="s">
        <v>1014</v>
      </c>
      <c r="E6" s="331" t="str">
        <f>TBHPS[[#This Row],[Strand]]&amp;"-"&amp;TBHPS[[#This Row],[QET]]&amp;"-"&amp;TBHPS[[#This Row],[CO]]</f>
        <v>1.2-T-NCOI</v>
      </c>
      <c r="F6" s="38" t="s">
        <v>1585</v>
      </c>
      <c r="G6" s="38" t="s">
        <v>1586</v>
      </c>
      <c r="H6" s="38" t="s">
        <v>1587</v>
      </c>
      <c r="I6" s="38" t="s">
        <v>1588</v>
      </c>
      <c r="J6" s="42" t="s">
        <v>1354</v>
      </c>
    </row>
    <row r="7" spans="1:10" ht="84" x14ac:dyDescent="0.25">
      <c r="A7" s="22">
        <v>1.3</v>
      </c>
      <c r="B7" s="13" t="s">
        <v>750</v>
      </c>
      <c r="C7" s="13">
        <v>2</v>
      </c>
      <c r="D7" s="13" t="s">
        <v>1012</v>
      </c>
      <c r="E7" s="320" t="str">
        <f>TBHPS[[#This Row],[Strand]]&amp;"-"&amp;TBHPS[[#This Row],[QET]]&amp;"-"&amp;TBHPS[[#This Row],[CO]]</f>
        <v>1.3-Q-NCOI</v>
      </c>
      <c r="F7" s="17" t="s">
        <v>1873</v>
      </c>
      <c r="G7" s="17" t="s">
        <v>1874</v>
      </c>
      <c r="H7" s="17" t="s">
        <v>1875</v>
      </c>
      <c r="I7" s="17" t="s">
        <v>1592</v>
      </c>
      <c r="J7" s="28" t="s">
        <v>1354</v>
      </c>
    </row>
    <row r="8" spans="1:10" s="2" customFormat="1" ht="96" x14ac:dyDescent="0.25">
      <c r="A8" s="22">
        <v>1.4</v>
      </c>
      <c r="B8" s="13" t="s">
        <v>731</v>
      </c>
      <c r="C8" s="13">
        <v>3</v>
      </c>
      <c r="D8" s="13" t="s">
        <v>1012</v>
      </c>
      <c r="E8" s="320" t="str">
        <f>TBHPS[[#This Row],[Strand]]&amp;"-"&amp;TBHPS[[#This Row],[QET]]&amp;"-"&amp;TBHPS[[#This Row],[CO]]</f>
        <v>1.4-Q-COI</v>
      </c>
      <c r="F8" s="16" t="s">
        <v>1876</v>
      </c>
      <c r="G8" s="16" t="s">
        <v>1877</v>
      </c>
      <c r="H8" s="16" t="s">
        <v>1878</v>
      </c>
      <c r="I8" s="16" t="s">
        <v>1879</v>
      </c>
      <c r="J8" s="27" t="s">
        <v>1610</v>
      </c>
    </row>
    <row r="9" spans="1:10" ht="87" customHeight="1" x14ac:dyDescent="0.25">
      <c r="A9" s="22">
        <v>1.5</v>
      </c>
      <c r="B9" s="13" t="s">
        <v>731</v>
      </c>
      <c r="C9" s="13">
        <v>2</v>
      </c>
      <c r="D9" s="13" t="s">
        <v>1012</v>
      </c>
      <c r="E9" s="320" t="str">
        <f>TBHPS[[#This Row],[Strand]]&amp;"-"&amp;TBHPS[[#This Row],[QET]]&amp;"-"&amp;TBHPS[[#This Row],[CO]]</f>
        <v>1.5-Q-COI</v>
      </c>
      <c r="F9" s="16" t="s">
        <v>1880</v>
      </c>
      <c r="G9" s="16" t="s">
        <v>1881</v>
      </c>
      <c r="H9" s="16" t="s">
        <v>1882</v>
      </c>
      <c r="I9" s="16" t="s">
        <v>1883</v>
      </c>
      <c r="J9" s="28" t="s">
        <v>1354</v>
      </c>
    </row>
    <row r="10" spans="1:10" ht="36" x14ac:dyDescent="0.25">
      <c r="A10" s="22">
        <v>1.6</v>
      </c>
      <c r="B10" s="13" t="s">
        <v>731</v>
      </c>
      <c r="C10" s="13">
        <v>3</v>
      </c>
      <c r="D10" s="13" t="s">
        <v>1012</v>
      </c>
      <c r="E10" s="320" t="str">
        <f>TBHPS[[#This Row],[Strand]]&amp;"-"&amp;TBHPS[[#This Row],[QET]]&amp;"-"&amp;TBHPS[[#This Row],[CO]]</f>
        <v>1.6-Q-COI</v>
      </c>
      <c r="F10" s="15" t="s">
        <v>1606</v>
      </c>
      <c r="G10" s="15" t="s">
        <v>1607</v>
      </c>
      <c r="H10" s="15" t="s">
        <v>1608</v>
      </c>
      <c r="I10" s="15" t="s">
        <v>1609</v>
      </c>
      <c r="J10" s="27" t="s">
        <v>1610</v>
      </c>
    </row>
    <row r="11" spans="1:10" ht="36" x14ac:dyDescent="0.25">
      <c r="A11" s="22">
        <v>1.7</v>
      </c>
      <c r="B11" s="13" t="s">
        <v>731</v>
      </c>
      <c r="C11" s="13">
        <v>3</v>
      </c>
      <c r="D11" s="13" t="s">
        <v>1012</v>
      </c>
      <c r="E11" s="320" t="str">
        <f>TBHPS[[#This Row],[Strand]]&amp;"-"&amp;TBHPS[[#This Row],[QET]]&amp;"-"&amp;TBHPS[[#This Row],[CO]]</f>
        <v>1.7-Q-COI</v>
      </c>
      <c r="F11" s="15" t="s">
        <v>1606</v>
      </c>
      <c r="G11" s="15" t="s">
        <v>1607</v>
      </c>
      <c r="H11" s="15" t="s">
        <v>1608</v>
      </c>
      <c r="I11" s="15" t="s">
        <v>1609</v>
      </c>
      <c r="J11" s="27" t="s">
        <v>1610</v>
      </c>
    </row>
    <row r="12" spans="1:10" ht="36" x14ac:dyDescent="0.25">
      <c r="A12" s="22">
        <v>2.1</v>
      </c>
      <c r="B12" s="13" t="s">
        <v>731</v>
      </c>
      <c r="C12" s="13">
        <v>3</v>
      </c>
      <c r="D12" s="13" t="s">
        <v>1012</v>
      </c>
      <c r="E12" s="320" t="str">
        <f>TBHPS[[#This Row],[Strand]]&amp;"-"&amp;TBHPS[[#This Row],[QET]]&amp;"-"&amp;TBHPS[[#This Row],[CO]]</f>
        <v>2.1-Q-COI</v>
      </c>
      <c r="F12" s="15" t="s">
        <v>1606</v>
      </c>
      <c r="G12" s="15" t="s">
        <v>1607</v>
      </c>
      <c r="H12" s="15" t="s">
        <v>1608</v>
      </c>
      <c r="I12" s="15" t="s">
        <v>1609</v>
      </c>
      <c r="J12" s="27" t="s">
        <v>1610</v>
      </c>
    </row>
    <row r="13" spans="1:10" ht="36" x14ac:dyDescent="0.25">
      <c r="A13" s="22">
        <v>2.2000000000000002</v>
      </c>
      <c r="B13" s="13" t="s">
        <v>731</v>
      </c>
      <c r="C13" s="13">
        <v>3</v>
      </c>
      <c r="D13" s="13" t="s">
        <v>1012</v>
      </c>
      <c r="E13" s="320" t="str">
        <f>TBHPS[[#This Row],[Strand]]&amp;"-"&amp;TBHPS[[#This Row],[QET]]&amp;"-"&amp;TBHPS[[#This Row],[CO]]</f>
        <v>2.2-Q-COI</v>
      </c>
      <c r="F13" s="15" t="s">
        <v>1606</v>
      </c>
      <c r="G13" s="15" t="s">
        <v>1607</v>
      </c>
      <c r="H13" s="15" t="s">
        <v>1608</v>
      </c>
      <c r="I13" s="15" t="s">
        <v>1609</v>
      </c>
      <c r="J13" s="27" t="s">
        <v>1610</v>
      </c>
    </row>
    <row r="14" spans="1:10" ht="72" x14ac:dyDescent="0.25">
      <c r="A14" s="22">
        <v>2.2999999999999998</v>
      </c>
      <c r="B14" s="36" t="s">
        <v>731</v>
      </c>
      <c r="C14" s="36">
        <v>1</v>
      </c>
      <c r="D14" s="36" t="s">
        <v>1012</v>
      </c>
      <c r="E14" s="331" t="str">
        <f>TBHPS[[#This Row],[Strand]]&amp;"-"&amp;TBHPS[[#This Row],[QET]]&amp;"-"&amp;TBHPS[[#This Row],[CO]]</f>
        <v>2.3-Q-COI</v>
      </c>
      <c r="F14" s="38" t="s">
        <v>1884</v>
      </c>
      <c r="G14" s="38" t="s">
        <v>1885</v>
      </c>
      <c r="H14" s="38" t="s">
        <v>1886</v>
      </c>
      <c r="I14" s="38" t="s">
        <v>1887</v>
      </c>
      <c r="J14" s="42" t="s">
        <v>1354</v>
      </c>
    </row>
    <row r="15" spans="1:10" ht="24" x14ac:dyDescent="0.25">
      <c r="A15" s="22">
        <v>2.2999999999999998</v>
      </c>
      <c r="B15" s="36" t="s">
        <v>731</v>
      </c>
      <c r="C15" s="36">
        <v>1</v>
      </c>
      <c r="D15" s="36" t="s">
        <v>1073</v>
      </c>
      <c r="E15" s="331" t="str">
        <f>TBHPS[[#This Row],[Strand]]&amp;"-"&amp;TBHPS[[#This Row],[QET]]&amp;"-"&amp;TBHPS[[#This Row],[CO]]</f>
        <v>2.3-E-COI</v>
      </c>
      <c r="F15" s="38" t="s">
        <v>1888</v>
      </c>
      <c r="G15" s="38" t="s">
        <v>1889</v>
      </c>
      <c r="H15" s="38" t="s">
        <v>1753</v>
      </c>
      <c r="I15" s="38" t="s">
        <v>1890</v>
      </c>
      <c r="J15" s="42" t="s">
        <v>1354</v>
      </c>
    </row>
    <row r="16" spans="1:10" ht="84" x14ac:dyDescent="0.25">
      <c r="A16" s="22">
        <v>2.4</v>
      </c>
      <c r="B16" s="13" t="s">
        <v>750</v>
      </c>
      <c r="C16" s="13">
        <v>3</v>
      </c>
      <c r="D16" s="13" t="s">
        <v>1012</v>
      </c>
      <c r="E16" s="320" t="str">
        <f>TBHPS[[#This Row],[Strand]]&amp;"-"&amp;TBHPS[[#This Row],[QET]]&amp;"-"&amp;TBHPS[[#This Row],[CO]]</f>
        <v>2.4-Q-NCOI</v>
      </c>
      <c r="F16" s="16" t="s">
        <v>1891</v>
      </c>
      <c r="G16" s="16" t="s">
        <v>1612</v>
      </c>
      <c r="H16" s="16" t="s">
        <v>1892</v>
      </c>
      <c r="I16" s="16" t="s">
        <v>1893</v>
      </c>
      <c r="J16" s="28" t="s">
        <v>1354</v>
      </c>
    </row>
    <row r="17" spans="1:10" ht="96" x14ac:dyDescent="0.25">
      <c r="A17" s="22">
        <v>2.5</v>
      </c>
      <c r="B17" s="13" t="s">
        <v>750</v>
      </c>
      <c r="C17" s="13">
        <v>3</v>
      </c>
      <c r="D17" s="13" t="s">
        <v>1012</v>
      </c>
      <c r="E17" s="320" t="str">
        <f>TBHPS[[#This Row],[Strand]]&amp;"-"&amp;TBHPS[[#This Row],[QET]]&amp;"-"&amp;TBHPS[[#This Row],[CO]]</f>
        <v>2.5-Q-NCOI</v>
      </c>
      <c r="F17" s="16" t="s">
        <v>1615</v>
      </c>
      <c r="G17" s="16" t="s">
        <v>1616</v>
      </c>
      <c r="H17" s="16" t="s">
        <v>1617</v>
      </c>
      <c r="I17" s="16" t="s">
        <v>1618</v>
      </c>
      <c r="J17" s="28" t="s">
        <v>1354</v>
      </c>
    </row>
    <row r="18" spans="1:10" ht="72" x14ac:dyDescent="0.25">
      <c r="A18" s="22">
        <v>2.6</v>
      </c>
      <c r="B18" s="36" t="s">
        <v>731</v>
      </c>
      <c r="C18" s="36">
        <v>1</v>
      </c>
      <c r="D18" s="36" t="s">
        <v>1012</v>
      </c>
      <c r="E18" s="331" t="str">
        <f>TBHPS[[#This Row],[Strand]]&amp;"-"&amp;TBHPS[[#This Row],[QET]]&amp;"-"&amp;TBHPS[[#This Row],[CO]]</f>
        <v>2.6-Q-COI</v>
      </c>
      <c r="F18" s="38" t="s">
        <v>1894</v>
      </c>
      <c r="G18" s="38" t="s">
        <v>1895</v>
      </c>
      <c r="H18" s="38" t="s">
        <v>1896</v>
      </c>
      <c r="I18" s="38" t="s">
        <v>1897</v>
      </c>
      <c r="J18" s="42" t="s">
        <v>1768</v>
      </c>
    </row>
    <row r="19" spans="1:10" ht="48" x14ac:dyDescent="0.25">
      <c r="A19" s="22">
        <v>2.6</v>
      </c>
      <c r="B19" s="36" t="s">
        <v>731</v>
      </c>
      <c r="C19" s="36">
        <v>1</v>
      </c>
      <c r="D19" s="36" t="s">
        <v>1073</v>
      </c>
      <c r="E19" s="331" t="str">
        <f>TBHPS[[#This Row],[Strand]]&amp;"-"&amp;TBHPS[[#This Row],[QET]]&amp;"-"&amp;TBHPS[[#This Row],[CO]]</f>
        <v>2.6-E-COI</v>
      </c>
      <c r="F19" s="38" t="s">
        <v>1898</v>
      </c>
      <c r="G19" s="38" t="s">
        <v>1899</v>
      </c>
      <c r="H19" s="38" t="s">
        <v>1900</v>
      </c>
      <c r="I19" s="38" t="s">
        <v>1763</v>
      </c>
      <c r="J19" s="42" t="s">
        <v>1354</v>
      </c>
    </row>
    <row r="20" spans="1:10" ht="60" x14ac:dyDescent="0.25">
      <c r="A20" s="22">
        <v>3.1</v>
      </c>
      <c r="B20" s="36" t="s">
        <v>750</v>
      </c>
      <c r="C20" s="36">
        <v>1</v>
      </c>
      <c r="D20" s="36" t="s">
        <v>1012</v>
      </c>
      <c r="E20" s="331" t="str">
        <f>TBHPS[[#This Row],[Strand]]&amp;"-"&amp;TBHPS[[#This Row],[QET]]&amp;"-"&amp;TBHPS[[#This Row],[CO]]</f>
        <v>3.1-Q-NCOI</v>
      </c>
      <c r="F20" s="38" t="s">
        <v>1901</v>
      </c>
      <c r="G20" s="38" t="s">
        <v>1902</v>
      </c>
      <c r="H20" s="38" t="s">
        <v>1903</v>
      </c>
      <c r="I20" s="38" t="s">
        <v>1904</v>
      </c>
      <c r="J20" s="42" t="s">
        <v>1768</v>
      </c>
    </row>
    <row r="21" spans="1:10" ht="24" x14ac:dyDescent="0.25">
      <c r="A21" s="22">
        <v>3.1</v>
      </c>
      <c r="B21" s="36" t="s">
        <v>750</v>
      </c>
      <c r="C21" s="36">
        <v>1</v>
      </c>
      <c r="D21" s="36" t="s">
        <v>1073</v>
      </c>
      <c r="E21" s="331" t="str">
        <f>TBHPS[[#This Row],[Strand]]&amp;"-"&amp;TBHPS[[#This Row],[QET]]&amp;"-"&amp;TBHPS[[#This Row],[CO]]</f>
        <v>3.1-E-NCOI</v>
      </c>
      <c r="F21" s="38" t="s">
        <v>1888</v>
      </c>
      <c r="G21" s="38" t="s">
        <v>1752</v>
      </c>
      <c r="H21" s="38" t="s">
        <v>1905</v>
      </c>
      <c r="I21" s="38" t="s">
        <v>1754</v>
      </c>
      <c r="J21" s="42" t="s">
        <v>1354</v>
      </c>
    </row>
    <row r="22" spans="1:10" s="2" customFormat="1" ht="95.45" customHeight="1" x14ac:dyDescent="0.25">
      <c r="A22" s="22">
        <v>3.2</v>
      </c>
      <c r="B22" s="13" t="s">
        <v>750</v>
      </c>
      <c r="C22" s="13">
        <v>2</v>
      </c>
      <c r="D22" s="13" t="s">
        <v>1012</v>
      </c>
      <c r="E22" s="320" t="str">
        <f>TBHPS[[#This Row],[Strand]]&amp;"-"&amp;TBHPS[[#This Row],[QET]]&amp;"-"&amp;TBHPS[[#This Row],[CO]]</f>
        <v>3.2-Q-NCOI</v>
      </c>
      <c r="F22" s="17" t="s">
        <v>1906</v>
      </c>
      <c r="G22" s="17" t="s">
        <v>1907</v>
      </c>
      <c r="H22" s="17" t="s">
        <v>1908</v>
      </c>
      <c r="I22" s="17" t="s">
        <v>1909</v>
      </c>
      <c r="J22" s="28" t="s">
        <v>1354</v>
      </c>
    </row>
    <row r="23" spans="1:10" ht="36" x14ac:dyDescent="0.25">
      <c r="A23" s="22">
        <v>3.3</v>
      </c>
      <c r="B23" s="13" t="s">
        <v>731</v>
      </c>
      <c r="C23" s="13">
        <v>3</v>
      </c>
      <c r="D23" s="13" t="s">
        <v>1012</v>
      </c>
      <c r="E23" s="320" t="str">
        <f>TBHPS[[#This Row],[Strand]]&amp;"-"&amp;TBHPS[[#This Row],[QET]]&amp;"-"&amp;TBHPS[[#This Row],[CO]]</f>
        <v>3.3-Q-COI</v>
      </c>
      <c r="F23" s="15" t="s">
        <v>1606</v>
      </c>
      <c r="G23" s="15" t="s">
        <v>1607</v>
      </c>
      <c r="H23" s="15" t="s">
        <v>1608</v>
      </c>
      <c r="I23" s="15" t="s">
        <v>1609</v>
      </c>
      <c r="J23" s="27" t="s">
        <v>1610</v>
      </c>
    </row>
    <row r="24" spans="1:10" ht="36" x14ac:dyDescent="0.25">
      <c r="A24" s="22">
        <v>3.3</v>
      </c>
      <c r="B24" s="13" t="s">
        <v>750</v>
      </c>
      <c r="C24" s="13">
        <v>3</v>
      </c>
      <c r="D24" s="13" t="s">
        <v>1012</v>
      </c>
      <c r="E24" s="320" t="str">
        <f>TBHPS[[#This Row],[Strand]]&amp;"-"&amp;TBHPS[[#This Row],[QET]]&amp;"-"&amp;TBHPS[[#This Row],[CO]]</f>
        <v>3.3-Q-NCOI</v>
      </c>
      <c r="F24" s="16" t="s">
        <v>1381</v>
      </c>
      <c r="G24" s="16" t="s">
        <v>1382</v>
      </c>
      <c r="H24" s="16" t="s">
        <v>1383</v>
      </c>
      <c r="I24" s="16" t="s">
        <v>1384</v>
      </c>
      <c r="J24" s="28" t="s">
        <v>1385</v>
      </c>
    </row>
    <row r="25" spans="1:10" ht="36" x14ac:dyDescent="0.25">
      <c r="A25" s="22">
        <v>3.4</v>
      </c>
      <c r="B25" s="13" t="s">
        <v>731</v>
      </c>
      <c r="C25" s="13">
        <v>2</v>
      </c>
      <c r="D25" s="13" t="s">
        <v>1012</v>
      </c>
      <c r="E25" s="320" t="str">
        <f>TBHPS[[#This Row],[Strand]]&amp;"-"&amp;TBHPS[[#This Row],[QET]]&amp;"-"&amp;TBHPS[[#This Row],[CO]]</f>
        <v>3.4-Q-COI</v>
      </c>
      <c r="F25" s="15" t="s">
        <v>1606</v>
      </c>
      <c r="G25" s="15" t="s">
        <v>1607</v>
      </c>
      <c r="H25" s="15" t="s">
        <v>1608</v>
      </c>
      <c r="I25" s="15" t="s">
        <v>1609</v>
      </c>
      <c r="J25" s="27" t="s">
        <v>1610</v>
      </c>
    </row>
    <row r="26" spans="1:10" ht="36" x14ac:dyDescent="0.25">
      <c r="A26" s="22">
        <v>3.5</v>
      </c>
      <c r="B26" s="13" t="s">
        <v>731</v>
      </c>
      <c r="C26" s="13">
        <v>3</v>
      </c>
      <c r="D26" s="13" t="s">
        <v>1012</v>
      </c>
      <c r="E26" s="320" t="str">
        <f>TBHPS[[#This Row],[Strand]]&amp;"-"&amp;TBHPS[[#This Row],[QET]]&amp;"-"&amp;TBHPS[[#This Row],[CO]]</f>
        <v>3.5-Q-COI</v>
      </c>
      <c r="F26" s="15" t="s">
        <v>1606</v>
      </c>
      <c r="G26" s="15" t="s">
        <v>1607</v>
      </c>
      <c r="H26" s="15" t="s">
        <v>1608</v>
      </c>
      <c r="I26" s="15" t="s">
        <v>1609</v>
      </c>
      <c r="J26" s="27" t="s">
        <v>1610</v>
      </c>
    </row>
    <row r="27" spans="1:10" ht="36" x14ac:dyDescent="0.25">
      <c r="A27" s="22">
        <v>3.5</v>
      </c>
      <c r="B27" s="13" t="s">
        <v>750</v>
      </c>
      <c r="C27" s="13">
        <v>3</v>
      </c>
      <c r="D27" s="13" t="s">
        <v>1012</v>
      </c>
      <c r="E27" s="320" t="str">
        <f>TBHPS[[#This Row],[Strand]]&amp;"-"&amp;TBHPS[[#This Row],[QET]]&amp;"-"&amp;TBHPS[[#This Row],[CO]]</f>
        <v>3.5-Q-NCOI</v>
      </c>
      <c r="F27" s="16" t="s">
        <v>1381</v>
      </c>
      <c r="G27" s="16" t="s">
        <v>1382</v>
      </c>
      <c r="H27" s="16" t="s">
        <v>1383</v>
      </c>
      <c r="I27" s="16" t="s">
        <v>1384</v>
      </c>
      <c r="J27" s="28" t="s">
        <v>1385</v>
      </c>
    </row>
    <row r="28" spans="1:10" ht="60" x14ac:dyDescent="0.25">
      <c r="A28" s="22">
        <v>4.0999999999999996</v>
      </c>
      <c r="B28" s="36" t="s">
        <v>731</v>
      </c>
      <c r="C28" s="36">
        <v>1</v>
      </c>
      <c r="D28" s="36" t="s">
        <v>1012</v>
      </c>
      <c r="E28" s="331" t="str">
        <f>TBHPS[[#This Row],[Strand]]&amp;"-"&amp;TBHPS[[#This Row],[QET]]&amp;"-"&amp;TBHPS[[#This Row],[CO]]</f>
        <v>4.1-Q-COI</v>
      </c>
      <c r="F28" s="38" t="s">
        <v>1910</v>
      </c>
      <c r="G28" s="38" t="s">
        <v>1911</v>
      </c>
      <c r="H28" s="38" t="s">
        <v>1912</v>
      </c>
      <c r="I28" s="38" t="s">
        <v>1913</v>
      </c>
      <c r="J28" s="42" t="s">
        <v>1354</v>
      </c>
    </row>
    <row r="29" spans="1:10" ht="24" x14ac:dyDescent="0.25">
      <c r="A29" s="22">
        <v>4.0999999999999996</v>
      </c>
      <c r="B29" s="36" t="s">
        <v>731</v>
      </c>
      <c r="C29" s="36">
        <v>1</v>
      </c>
      <c r="D29" s="36" t="s">
        <v>1073</v>
      </c>
      <c r="E29" s="331" t="str">
        <f>TBHPS[[#This Row],[Strand]]&amp;"-"&amp;TBHPS[[#This Row],[QET]]&amp;"-"&amp;TBHPS[[#This Row],[CO]]</f>
        <v>4.1-E-COI</v>
      </c>
      <c r="F29" s="38" t="s">
        <v>1888</v>
      </c>
      <c r="G29" s="38" t="s">
        <v>1914</v>
      </c>
      <c r="H29" s="38" t="s">
        <v>1905</v>
      </c>
      <c r="I29" s="38" t="s">
        <v>1754</v>
      </c>
      <c r="J29" s="42" t="s">
        <v>1354</v>
      </c>
    </row>
    <row r="30" spans="1:10" ht="48" x14ac:dyDescent="0.25">
      <c r="A30" s="22">
        <v>4.2</v>
      </c>
      <c r="B30" s="13" t="s">
        <v>750</v>
      </c>
      <c r="C30" s="13">
        <v>2</v>
      </c>
      <c r="D30" s="13" t="s">
        <v>1012</v>
      </c>
      <c r="E30" s="320" t="str">
        <f>TBHPS[[#This Row],[Strand]]&amp;"-"&amp;TBHPS[[#This Row],[QET]]&amp;"-"&amp;TBHPS[[#This Row],[CO]]</f>
        <v>4.2-Q-NCOI</v>
      </c>
      <c r="F30" s="16" t="s">
        <v>1915</v>
      </c>
      <c r="G30" s="16" t="s">
        <v>1916</v>
      </c>
      <c r="H30" s="16" t="s">
        <v>1784</v>
      </c>
      <c r="I30" s="16" t="s">
        <v>1917</v>
      </c>
      <c r="J30" s="28" t="s">
        <v>1354</v>
      </c>
    </row>
    <row r="31" spans="1:10" ht="57.6" customHeight="1" x14ac:dyDescent="0.25">
      <c r="A31" s="22">
        <v>4.3</v>
      </c>
      <c r="B31" s="13" t="s">
        <v>750</v>
      </c>
      <c r="C31" s="13">
        <v>3</v>
      </c>
      <c r="D31" s="13" t="s">
        <v>1012</v>
      </c>
      <c r="E31" s="320" t="str">
        <f>TBHPS[[#This Row],[Strand]]&amp;"-"&amp;TBHPS[[#This Row],[QET]]&amp;"-"&amp;TBHPS[[#This Row],[CO]]</f>
        <v>4.3-Q-NCOI</v>
      </c>
      <c r="F31" s="16" t="s">
        <v>1918</v>
      </c>
      <c r="G31" s="16" t="s">
        <v>1919</v>
      </c>
      <c r="H31" s="16" t="s">
        <v>1920</v>
      </c>
      <c r="I31" s="16" t="s">
        <v>1921</v>
      </c>
      <c r="J31" s="28" t="s">
        <v>1354</v>
      </c>
    </row>
    <row r="32" spans="1:10" ht="36" x14ac:dyDescent="0.25">
      <c r="A32" s="22">
        <v>4.4000000000000004</v>
      </c>
      <c r="B32" s="36" t="s">
        <v>750</v>
      </c>
      <c r="C32" s="36">
        <v>1</v>
      </c>
      <c r="D32" s="36" t="s">
        <v>1012</v>
      </c>
      <c r="E32" s="331" t="str">
        <f>TBHPS[[#This Row],[Strand]]&amp;"-"&amp;TBHPS[[#This Row],[QET]]&amp;"-"&amp;TBHPS[[#This Row],[CO]]</f>
        <v>4.4-Q-NCOI</v>
      </c>
      <c r="F32" s="38" t="s">
        <v>1922</v>
      </c>
      <c r="G32" s="38" t="s">
        <v>1923</v>
      </c>
      <c r="H32" s="38" t="s">
        <v>1924</v>
      </c>
      <c r="I32" s="38" t="s">
        <v>1925</v>
      </c>
      <c r="J32" s="42" t="s">
        <v>1354</v>
      </c>
    </row>
    <row r="33" spans="1:10" ht="24" x14ac:dyDescent="0.25">
      <c r="A33" s="22">
        <v>4.4000000000000004</v>
      </c>
      <c r="B33" s="36" t="s">
        <v>750</v>
      </c>
      <c r="C33" s="36">
        <v>1</v>
      </c>
      <c r="D33" s="36" t="s">
        <v>1073</v>
      </c>
      <c r="E33" s="331" t="str">
        <f>TBHPS[[#This Row],[Strand]]&amp;"-"&amp;TBHPS[[#This Row],[QET]]&amp;"-"&amp;TBHPS[[#This Row],[CO]]</f>
        <v>4.4-E-NCOI</v>
      </c>
      <c r="F33" s="38" t="s">
        <v>1751</v>
      </c>
      <c r="G33" s="38" t="s">
        <v>1752</v>
      </c>
      <c r="H33" s="38" t="s">
        <v>1753</v>
      </c>
      <c r="I33" s="38" t="s">
        <v>1754</v>
      </c>
      <c r="J33" s="42" t="s">
        <v>1354</v>
      </c>
    </row>
    <row r="34" spans="1:10" ht="36" x14ac:dyDescent="0.25">
      <c r="A34" s="22">
        <v>4.5</v>
      </c>
      <c r="B34" s="13" t="s">
        <v>731</v>
      </c>
      <c r="C34" s="13">
        <v>2</v>
      </c>
      <c r="D34" s="13" t="s">
        <v>1012</v>
      </c>
      <c r="E34" s="320" t="str">
        <f>TBHPS[[#This Row],[Strand]]&amp;"-"&amp;TBHPS[[#This Row],[QET]]&amp;"-"&amp;TBHPS[[#This Row],[CO]]</f>
        <v>4.5-Q-COI</v>
      </c>
      <c r="F34" s="15" t="s">
        <v>1606</v>
      </c>
      <c r="G34" s="15" t="s">
        <v>1607</v>
      </c>
      <c r="H34" s="15" t="s">
        <v>1608</v>
      </c>
      <c r="I34" s="15" t="s">
        <v>1609</v>
      </c>
      <c r="J34" s="27" t="s">
        <v>1610</v>
      </c>
    </row>
    <row r="35" spans="1:10" ht="36" x14ac:dyDescent="0.25">
      <c r="A35" s="22">
        <v>5.0999999999999996</v>
      </c>
      <c r="B35" s="36" t="s">
        <v>750</v>
      </c>
      <c r="C35" s="36">
        <v>1</v>
      </c>
      <c r="D35" s="36" t="s">
        <v>1012</v>
      </c>
      <c r="E35" s="331" t="str">
        <f>TBHPS[[#This Row],[Strand]]&amp;"-"&amp;TBHPS[[#This Row],[QET]]&amp;"-"&amp;TBHPS[[#This Row],[CO]]</f>
        <v>5.1-Q-NCOI</v>
      </c>
      <c r="F35" s="38" t="s">
        <v>1926</v>
      </c>
      <c r="G35" s="38" t="s">
        <v>1927</v>
      </c>
      <c r="H35" s="38" t="s">
        <v>1928</v>
      </c>
      <c r="I35" s="38" t="s">
        <v>1929</v>
      </c>
      <c r="J35" s="42" t="s">
        <v>1354</v>
      </c>
    </row>
    <row r="36" spans="1:10" ht="36" x14ac:dyDescent="0.25">
      <c r="A36" s="22">
        <v>5.0999999999999996</v>
      </c>
      <c r="B36" s="36" t="s">
        <v>750</v>
      </c>
      <c r="C36" s="36">
        <v>1</v>
      </c>
      <c r="D36" s="36" t="s">
        <v>1073</v>
      </c>
      <c r="E36" s="331" t="str">
        <f>TBHPS[[#This Row],[Strand]]&amp;"-"&amp;TBHPS[[#This Row],[QET]]&amp;"-"&amp;TBHPS[[#This Row],[CO]]</f>
        <v>5.1-E-NCOI</v>
      </c>
      <c r="F36" s="38" t="s">
        <v>1930</v>
      </c>
      <c r="G36" s="38" t="s">
        <v>1931</v>
      </c>
      <c r="H36" s="38" t="s">
        <v>1932</v>
      </c>
      <c r="I36" s="38" t="s">
        <v>1933</v>
      </c>
      <c r="J36" s="42" t="s">
        <v>1354</v>
      </c>
    </row>
    <row r="37" spans="1:10" ht="48" x14ac:dyDescent="0.25">
      <c r="A37" s="22">
        <v>5.2</v>
      </c>
      <c r="B37" s="36" t="s">
        <v>750</v>
      </c>
      <c r="C37" s="36">
        <v>1</v>
      </c>
      <c r="D37" s="36" t="s">
        <v>1012</v>
      </c>
      <c r="E37" s="331" t="str">
        <f>TBHPS[[#This Row],[Strand]]&amp;"-"&amp;TBHPS[[#This Row],[QET]]&amp;"-"&amp;TBHPS[[#This Row],[CO]]</f>
        <v>5.2-Q-NCOI</v>
      </c>
      <c r="F37" s="38" t="s">
        <v>1934</v>
      </c>
      <c r="G37" s="38" t="s">
        <v>1935</v>
      </c>
      <c r="H37" s="38" t="s">
        <v>1936</v>
      </c>
      <c r="I37" s="38" t="s">
        <v>1937</v>
      </c>
      <c r="J37" s="42" t="s">
        <v>1354</v>
      </c>
    </row>
    <row r="38" spans="1:10" x14ac:dyDescent="0.25">
      <c r="A38" s="22">
        <v>5.2</v>
      </c>
      <c r="B38" s="36" t="s">
        <v>750</v>
      </c>
      <c r="C38" s="36">
        <v>1</v>
      </c>
      <c r="D38" s="36" t="s">
        <v>1073</v>
      </c>
      <c r="E38" s="331" t="str">
        <f>TBHPS[[#This Row],[Strand]]&amp;"-"&amp;TBHPS[[#This Row],[QET]]&amp;"-"&amp;TBHPS[[#This Row],[CO]]</f>
        <v>5.2-E-NCOI</v>
      </c>
      <c r="F38" s="38" t="s">
        <v>1938</v>
      </c>
      <c r="G38" s="38" t="s">
        <v>1939</v>
      </c>
      <c r="H38" s="38" t="s">
        <v>1940</v>
      </c>
      <c r="I38" s="38" t="s">
        <v>1941</v>
      </c>
      <c r="J38" s="42" t="s">
        <v>1354</v>
      </c>
    </row>
    <row r="39" spans="1:10" ht="41.45" customHeight="1" x14ac:dyDescent="0.25">
      <c r="A39" s="22">
        <v>5.3</v>
      </c>
      <c r="B39" s="13" t="s">
        <v>750</v>
      </c>
      <c r="C39" s="13">
        <v>2</v>
      </c>
      <c r="D39" s="13" t="s">
        <v>1012</v>
      </c>
      <c r="E39" s="320" t="str">
        <f>TBHPS[[#This Row],[Strand]]&amp;"-"&amp;TBHPS[[#This Row],[QET]]&amp;"-"&amp;TBHPS[[#This Row],[CO]]</f>
        <v>5.3-Q-NCOI</v>
      </c>
      <c r="F39" s="17" t="s">
        <v>1818</v>
      </c>
      <c r="G39" s="17" t="s">
        <v>1819</v>
      </c>
      <c r="H39" s="17" t="s">
        <v>1820</v>
      </c>
      <c r="I39" s="17" t="s">
        <v>1821</v>
      </c>
      <c r="J39" s="29" t="s">
        <v>1703</v>
      </c>
    </row>
    <row r="40" spans="1:10" ht="60" x14ac:dyDescent="0.25">
      <c r="A40" s="22">
        <v>5.4</v>
      </c>
      <c r="B40" s="36" t="s">
        <v>750</v>
      </c>
      <c r="C40" s="36">
        <v>1</v>
      </c>
      <c r="D40" s="36" t="s">
        <v>1012</v>
      </c>
      <c r="E40" s="331" t="str">
        <f>TBHPS[[#This Row],[Strand]]&amp;"-"&amp;TBHPS[[#This Row],[QET]]&amp;"-"&amp;TBHPS[[#This Row],[CO]]</f>
        <v>5.4-Q-NCOI</v>
      </c>
      <c r="F40" s="38" t="s">
        <v>1942</v>
      </c>
      <c r="G40" s="38" t="s">
        <v>1943</v>
      </c>
      <c r="H40" s="38" t="s">
        <v>1944</v>
      </c>
      <c r="I40" s="38" t="s">
        <v>1945</v>
      </c>
      <c r="J40" s="42" t="s">
        <v>1354</v>
      </c>
    </row>
    <row r="41" spans="1:10" x14ac:dyDescent="0.25">
      <c r="A41" s="22">
        <v>5.4</v>
      </c>
      <c r="B41" s="36" t="s">
        <v>750</v>
      </c>
      <c r="C41" s="36">
        <v>1</v>
      </c>
      <c r="D41" s="36" t="s">
        <v>1073</v>
      </c>
      <c r="E41" s="331" t="str">
        <f>TBHPS[[#This Row],[Strand]]&amp;"-"&amp;TBHPS[[#This Row],[QET]]&amp;"-"&amp;TBHPS[[#This Row],[CO]]</f>
        <v>5.4-E-NCOI</v>
      </c>
      <c r="F41" s="38" t="s">
        <v>1946</v>
      </c>
      <c r="G41" s="38" t="s">
        <v>1947</v>
      </c>
      <c r="H41" s="38" t="s">
        <v>1948</v>
      </c>
      <c r="I41" s="38" t="s">
        <v>1949</v>
      </c>
      <c r="J41" s="42" t="s">
        <v>1354</v>
      </c>
    </row>
    <row r="42" spans="1:10" ht="108" x14ac:dyDescent="0.25">
      <c r="A42" s="22">
        <v>5.5</v>
      </c>
      <c r="B42" s="13" t="s">
        <v>750</v>
      </c>
      <c r="C42" s="13">
        <v>3</v>
      </c>
      <c r="D42" s="13" t="s">
        <v>1012</v>
      </c>
      <c r="E42" s="320" t="str">
        <f>TBHPS[[#This Row],[Strand]]&amp;"-"&amp;TBHPS[[#This Row],[QET]]&amp;"-"&amp;TBHPS[[#This Row],[CO]]</f>
        <v>5.5-Q-NCOI</v>
      </c>
      <c r="F42" s="16" t="s">
        <v>1950</v>
      </c>
      <c r="G42" s="16" t="s">
        <v>1951</v>
      </c>
      <c r="H42" s="16" t="s">
        <v>1952</v>
      </c>
      <c r="I42" s="16" t="s">
        <v>1953</v>
      </c>
      <c r="J42" s="28" t="s">
        <v>1354</v>
      </c>
    </row>
    <row r="43" spans="1:10" ht="81.599999999999994" customHeight="1" x14ac:dyDescent="0.25">
      <c r="A43" s="22">
        <v>6.1</v>
      </c>
      <c r="B43" s="13" t="s">
        <v>750</v>
      </c>
      <c r="C43" s="13">
        <v>3</v>
      </c>
      <c r="D43" s="13" t="s">
        <v>1012</v>
      </c>
      <c r="E43" s="320" t="str">
        <f>TBHPS[[#This Row],[Strand]]&amp;"-"&amp;TBHPS[[#This Row],[QET]]&amp;"-"&amp;TBHPS[[#This Row],[CO]]</f>
        <v>6.1-Q-NCOI</v>
      </c>
      <c r="F43" s="16" t="s">
        <v>1954</v>
      </c>
      <c r="G43" s="16" t="s">
        <v>1955</v>
      </c>
      <c r="H43" s="16" t="s">
        <v>1956</v>
      </c>
      <c r="I43" s="16" t="s">
        <v>1957</v>
      </c>
      <c r="J43" s="28" t="s">
        <v>1354</v>
      </c>
    </row>
    <row r="44" spans="1:10" ht="82.7" customHeight="1" x14ac:dyDescent="0.25">
      <c r="A44" s="22">
        <v>6.2</v>
      </c>
      <c r="B44" s="13" t="s">
        <v>750</v>
      </c>
      <c r="C44" s="13">
        <v>2</v>
      </c>
      <c r="D44" s="13" t="s">
        <v>1012</v>
      </c>
      <c r="E44" s="320" t="str">
        <f>TBHPS[[#This Row],[Strand]]&amp;"-"&amp;TBHPS[[#This Row],[QET]]&amp;"-"&amp;TBHPS[[#This Row],[CO]]</f>
        <v>6.2-Q-NCOI</v>
      </c>
      <c r="F44" s="17" t="s">
        <v>1958</v>
      </c>
      <c r="G44" s="17" t="s">
        <v>1959</v>
      </c>
      <c r="H44" s="17" t="s">
        <v>1960</v>
      </c>
      <c r="I44" s="17" t="s">
        <v>1961</v>
      </c>
      <c r="J44" s="28" t="s">
        <v>1354</v>
      </c>
    </row>
    <row r="45" spans="1:10" ht="96" x14ac:dyDescent="0.25">
      <c r="A45" s="22">
        <v>6.3</v>
      </c>
      <c r="B45" s="13" t="s">
        <v>750</v>
      </c>
      <c r="C45" s="13">
        <v>3</v>
      </c>
      <c r="D45" s="13" t="s">
        <v>1012</v>
      </c>
      <c r="E45" s="320" t="str">
        <f>TBHPS[[#This Row],[Strand]]&amp;"-"&amp;TBHPS[[#This Row],[QET]]&amp;"-"&amp;TBHPS[[#This Row],[CO]]</f>
        <v>6.3-Q-NCOI</v>
      </c>
      <c r="F45" s="16" t="s">
        <v>1695</v>
      </c>
      <c r="G45" s="16" t="s">
        <v>1696</v>
      </c>
      <c r="H45" s="16" t="s">
        <v>1697</v>
      </c>
      <c r="I45" s="16" t="s">
        <v>1698</v>
      </c>
      <c r="J45" s="30" t="s">
        <v>1354</v>
      </c>
    </row>
    <row r="46" spans="1:10" ht="60" x14ac:dyDescent="0.25">
      <c r="A46" s="22">
        <v>6.4</v>
      </c>
      <c r="B46" s="13" t="s">
        <v>750</v>
      </c>
      <c r="C46" s="13">
        <v>3</v>
      </c>
      <c r="D46" s="13" t="s">
        <v>1012</v>
      </c>
      <c r="E46" s="320" t="str">
        <f>TBHPS[[#This Row],[Strand]]&amp;"-"&amp;TBHPS[[#This Row],[QET]]&amp;"-"&amp;TBHPS[[#This Row],[CO]]</f>
        <v>6.4-Q-NCOI</v>
      </c>
      <c r="F46" s="16" t="s">
        <v>1962</v>
      </c>
      <c r="G46" s="16" t="s">
        <v>1963</v>
      </c>
      <c r="H46" s="16" t="s">
        <v>1964</v>
      </c>
      <c r="I46" s="16" t="s">
        <v>1965</v>
      </c>
      <c r="J46" s="28" t="s">
        <v>1703</v>
      </c>
    </row>
    <row r="47" spans="1:10" ht="48" x14ac:dyDescent="0.25">
      <c r="A47" s="22">
        <v>7.1</v>
      </c>
      <c r="B47" s="13" t="s">
        <v>750</v>
      </c>
      <c r="C47" s="13">
        <v>3</v>
      </c>
      <c r="D47" s="13" t="s">
        <v>1012</v>
      </c>
      <c r="E47" s="320" t="str">
        <f>TBHPS[[#This Row],[Strand]]&amp;"-"&amp;TBHPS[[#This Row],[QET]]&amp;"-"&amp;TBHPS[[#This Row],[CO]]</f>
        <v>7.1-Q-NCOI</v>
      </c>
      <c r="F47" s="16" t="s">
        <v>1966</v>
      </c>
      <c r="G47" s="16" t="s">
        <v>1967</v>
      </c>
      <c r="H47" s="16" t="s">
        <v>1968</v>
      </c>
      <c r="I47" s="17" t="s">
        <v>1969</v>
      </c>
      <c r="J47" s="29" t="s">
        <v>1354</v>
      </c>
    </row>
    <row r="48" spans="1:10" ht="108" x14ac:dyDescent="0.25">
      <c r="A48" s="22">
        <v>7.2</v>
      </c>
      <c r="B48" s="13" t="s">
        <v>750</v>
      </c>
      <c r="C48" s="13">
        <v>3</v>
      </c>
      <c r="D48" s="13" t="s">
        <v>1012</v>
      </c>
      <c r="E48" s="320" t="str">
        <f>TBHPS[[#This Row],[Strand]]&amp;"-"&amp;TBHPS[[#This Row],[QET]]&amp;"-"&amp;TBHPS[[#This Row],[CO]]</f>
        <v>7.2-Q-NCOI</v>
      </c>
      <c r="F48" s="17" t="s">
        <v>1709</v>
      </c>
      <c r="G48" s="17" t="s">
        <v>1710</v>
      </c>
      <c r="H48" s="17" t="s">
        <v>1711</v>
      </c>
      <c r="I48" s="16" t="s">
        <v>1712</v>
      </c>
      <c r="J48" s="29" t="s">
        <v>1354</v>
      </c>
    </row>
    <row r="49" spans="1:10" ht="84" x14ac:dyDescent="0.25">
      <c r="A49" s="22">
        <v>7.3</v>
      </c>
      <c r="B49" s="13" t="s">
        <v>750</v>
      </c>
      <c r="C49" s="13">
        <v>2</v>
      </c>
      <c r="D49" s="13" t="s">
        <v>1012</v>
      </c>
      <c r="E49" s="320" t="str">
        <f>TBHPS[[#This Row],[Strand]]&amp;"-"&amp;TBHPS[[#This Row],[QET]]&amp;"-"&amp;TBHPS[[#This Row],[CO]]</f>
        <v>7.3-Q-NCOI</v>
      </c>
      <c r="F49" s="17" t="s">
        <v>1970</v>
      </c>
      <c r="G49" s="45"/>
      <c r="H49" s="45"/>
      <c r="I49" s="45"/>
      <c r="J49" s="28" t="s">
        <v>1354</v>
      </c>
    </row>
    <row r="50" spans="1:10" ht="24" x14ac:dyDescent="0.25">
      <c r="A50" s="22">
        <v>7.3</v>
      </c>
      <c r="B50" s="13" t="s">
        <v>750</v>
      </c>
      <c r="C50" s="13">
        <v>2</v>
      </c>
      <c r="D50" s="13" t="s">
        <v>1073</v>
      </c>
      <c r="E50" s="320" t="str">
        <f>TBHPS[[#This Row],[Strand]]&amp;"-"&amp;TBHPS[[#This Row],[QET]]&amp;"-"&amp;TBHPS[[#This Row],[CO]]</f>
        <v>7.3-E-NCOI</v>
      </c>
      <c r="F50" s="16" t="s">
        <v>1810</v>
      </c>
      <c r="G50" s="16" t="s">
        <v>1811</v>
      </c>
      <c r="H50" s="16" t="s">
        <v>1812</v>
      </c>
      <c r="I50" s="16" t="s">
        <v>1826</v>
      </c>
      <c r="J50" s="28" t="s">
        <v>1354</v>
      </c>
    </row>
    <row r="51" spans="1:10" ht="54.6" customHeight="1" x14ac:dyDescent="0.25">
      <c r="A51" s="22">
        <v>7.4</v>
      </c>
      <c r="B51" s="13" t="s">
        <v>750</v>
      </c>
      <c r="C51" s="13">
        <v>2</v>
      </c>
      <c r="D51" s="13" t="s">
        <v>1012</v>
      </c>
      <c r="E51" s="320" t="str">
        <f>TBHPS[[#This Row],[Strand]]&amp;"-"&amp;TBHPS[[#This Row],[QET]]&amp;"-"&amp;TBHPS[[#This Row],[CO]]</f>
        <v>7.4-Q-NCOI</v>
      </c>
      <c r="F51" s="16" t="s">
        <v>1971</v>
      </c>
      <c r="G51" s="16" t="s">
        <v>1972</v>
      </c>
      <c r="H51" s="16" t="s">
        <v>1973</v>
      </c>
      <c r="I51" s="16" t="s">
        <v>1974</v>
      </c>
      <c r="J51" s="28" t="s">
        <v>1354</v>
      </c>
    </row>
    <row r="52" spans="1:10" ht="36" x14ac:dyDescent="0.25">
      <c r="A52" s="22">
        <v>7.4</v>
      </c>
      <c r="B52" s="13" t="s">
        <v>750</v>
      </c>
      <c r="C52" s="13">
        <v>2</v>
      </c>
      <c r="D52" s="13" t="s">
        <v>1073</v>
      </c>
      <c r="E52" s="320" t="str">
        <f>TBHPS[[#This Row],[Strand]]&amp;"-"&amp;TBHPS[[#This Row],[QET]]&amp;"-"&amp;TBHPS[[#This Row],[CO]]</f>
        <v>7.4-E-NCOI</v>
      </c>
      <c r="F52" s="16" t="s">
        <v>1975</v>
      </c>
      <c r="G52" s="16" t="s">
        <v>1976</v>
      </c>
      <c r="H52" s="16" t="s">
        <v>1977</v>
      </c>
      <c r="I52" s="16" t="s">
        <v>1978</v>
      </c>
      <c r="J52" s="28" t="s">
        <v>1354</v>
      </c>
    </row>
    <row r="53" spans="1:10" ht="36" x14ac:dyDescent="0.25">
      <c r="A53" s="22">
        <v>7.5</v>
      </c>
      <c r="B53" s="13" t="s">
        <v>750</v>
      </c>
      <c r="C53" s="13">
        <v>3</v>
      </c>
      <c r="D53" s="13" t="s">
        <v>1012</v>
      </c>
      <c r="E53" s="320" t="str">
        <f>TBHPS[[#This Row],[Strand]]&amp;"-"&amp;TBHPS[[#This Row],[QET]]&amp;"-"&amp;TBHPS[[#This Row],[CO]]</f>
        <v>7.5-Q-NCOI</v>
      </c>
      <c r="F53" s="17" t="s">
        <v>1858</v>
      </c>
      <c r="G53" s="17" t="s">
        <v>1979</v>
      </c>
      <c r="H53" s="16" t="s">
        <v>1980</v>
      </c>
      <c r="I53" s="16" t="s">
        <v>1981</v>
      </c>
      <c r="J53" s="28" t="s">
        <v>1862</v>
      </c>
    </row>
    <row r="54" spans="1:10" ht="67.7" customHeight="1" x14ac:dyDescent="0.25">
      <c r="A54" s="24">
        <v>15</v>
      </c>
      <c r="B54" s="26" t="s">
        <v>750</v>
      </c>
      <c r="C54" s="26">
        <v>3</v>
      </c>
      <c r="D54" s="26" t="s">
        <v>1012</v>
      </c>
      <c r="E54" s="324" t="str">
        <f>TBHPS[[#This Row],[Strand]]&amp;"-"&amp;TBHPS[[#This Row],[QET]]&amp;"-"&amp;TBHPS[[#This Row],[CO]]</f>
        <v>15-Q-NCOI</v>
      </c>
      <c r="F54" s="33" t="s">
        <v>1982</v>
      </c>
      <c r="G54" s="33" t="s">
        <v>1983</v>
      </c>
      <c r="H54" s="33" t="s">
        <v>1984</v>
      </c>
      <c r="I54" s="33" t="s">
        <v>1985</v>
      </c>
      <c r="J54" s="34" t="s">
        <v>1354</v>
      </c>
    </row>
    <row r="55" spans="1:10" x14ac:dyDescent="0.25">
      <c r="F55" s="2"/>
      <c r="G55" s="2"/>
      <c r="H55" s="2"/>
      <c r="I55" s="2"/>
      <c r="J55" s="2"/>
    </row>
  </sheetData>
  <sheetProtection algorithmName="SHA-512" hashValue="Ab1I6ueN/dKiUBCacyuoOOds9l9DK8G0TYgEKPlCeaRV2eiHfFiXXq0P6/8m7TitlJFzeST8xKFWOdrTeRC8Ng==" saltValue="bii+wnMaQUUCE1osHBtlCg==" spinCount="100000" sheet="1" objects="1" scenarios="1" selectLockedCells="1" selectUnlockedCells="1"/>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7E5B2F604C44B46A7E79383DC4F853D" ma:contentTypeVersion="6" ma:contentTypeDescription="Create a new document." ma:contentTypeScope="" ma:versionID="aefc2c2447c28f443cbe45fc989bcdc2">
  <xsd:schema xmlns:xsd="http://www.w3.org/2001/XMLSchema" xmlns:xs="http://www.w3.org/2001/XMLSchema" xmlns:p="http://schemas.microsoft.com/office/2006/metadata/properties" xmlns:ns2="c839aad3-d991-4a4a-8f60-2acd66f33d54" xmlns:ns3="9707a18e-1410-46a6-a0f0-93cd51c97e5d" targetNamespace="http://schemas.microsoft.com/office/2006/metadata/properties" ma:root="true" ma:fieldsID="f7e58a4b8258cadb2495d9b7720183ef" ns2:_="" ns3:_="">
    <xsd:import namespace="c839aad3-d991-4a4a-8f60-2acd66f33d54"/>
    <xsd:import namespace="9707a18e-1410-46a6-a0f0-93cd51c97e5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839aad3-d991-4a4a-8f60-2acd66f33d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07a18e-1410-46a6-a0f0-93cd51c97e5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7B45F77-7936-459E-A0AD-C08873D45602}">
  <ds:schemaRefs>
    <ds:schemaRef ds:uri="http://schemas.microsoft.com/sharepoint/v3/contenttype/forms"/>
  </ds:schemaRefs>
</ds:datastoreItem>
</file>

<file path=customXml/itemProps2.xml><?xml version="1.0" encoding="utf-8"?>
<ds:datastoreItem xmlns:ds="http://schemas.openxmlformats.org/officeDocument/2006/customXml" ds:itemID="{15078D6F-3120-45A9-9650-3B7921A8F352}">
  <ds:schemaRef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http://purl.org/dc/terms/"/>
    <ds:schemaRef ds:uri="http://www.w3.org/XML/1998/namespace"/>
    <ds:schemaRef ds:uri="http://schemas.microsoft.com/office/infopath/2007/PartnerControls"/>
    <ds:schemaRef ds:uri="9707a18e-1410-46a6-a0f0-93cd51c97e5d"/>
    <ds:schemaRef ds:uri="c839aad3-d991-4a4a-8f60-2acd66f33d54"/>
    <ds:schemaRef ds:uri="http://purl.org/dc/dcmitype/"/>
  </ds:schemaRefs>
</ds:datastoreItem>
</file>

<file path=customXml/itemProps3.xml><?xml version="1.0" encoding="utf-8"?>
<ds:datastoreItem xmlns:ds="http://schemas.openxmlformats.org/officeDocument/2006/customXml" ds:itemID="{C3ED6802-AC35-413E-A9EC-E01A2550E5B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839aad3-d991-4a4a-8f60-2acd66f33d54"/>
    <ds:schemaRef ds:uri="9707a18e-1410-46a6-a0f0-93cd51c97e5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337</vt:i4>
      </vt:variant>
    </vt:vector>
  </HeadingPairs>
  <TitlesOfParts>
    <vt:vector size="344" baseType="lpstr">
      <vt:lpstr>Status</vt:lpstr>
      <vt:lpstr>Encoding Part 1</vt:lpstr>
      <vt:lpstr>Encoding Part 2</vt:lpstr>
      <vt:lpstr>PART 1</vt:lpstr>
      <vt:lpstr>PART 2</vt:lpstr>
      <vt:lpstr>PART 3</vt:lpstr>
      <vt:lpstr>PART 4</vt:lpstr>
      <vt:lpstr>adjectival_rating</vt:lpstr>
      <vt:lpstr>admin_coi</vt:lpstr>
      <vt:lpstr>admin_coi_ncoi</vt:lpstr>
      <vt:lpstr>admin_ncoi</vt:lpstr>
      <vt:lpstr>age_list</vt:lpstr>
      <vt:lpstr>approvingpositions_list</vt:lpstr>
      <vt:lpstr>BARMM_divlist</vt:lpstr>
      <vt:lpstr>BARMM_vlookup</vt:lpstr>
      <vt:lpstr>CAR_divlist</vt:lpstr>
      <vt:lpstr>CAR_vlookup</vt:lpstr>
      <vt:lpstr>CARAGA_divlist</vt:lpstr>
      <vt:lpstr>career_stage</vt:lpstr>
      <vt:lpstr>change_status</vt:lpstr>
      <vt:lpstr>Class1</vt:lpstr>
      <vt:lpstr>Class10</vt:lpstr>
      <vt:lpstr>Class11</vt:lpstr>
      <vt:lpstr>Class12</vt:lpstr>
      <vt:lpstr>Class13</vt:lpstr>
      <vt:lpstr>Class14</vt:lpstr>
      <vt:lpstr>Class15</vt:lpstr>
      <vt:lpstr>Class16</vt:lpstr>
      <vt:lpstr>Class17</vt:lpstr>
      <vt:lpstr>Class18</vt:lpstr>
      <vt:lpstr>Class2</vt:lpstr>
      <vt:lpstr>Class3</vt:lpstr>
      <vt:lpstr>Class4</vt:lpstr>
      <vt:lpstr>Class5</vt:lpstr>
      <vt:lpstr>Class6</vt:lpstr>
      <vt:lpstr>Class7</vt:lpstr>
      <vt:lpstr>Class8</vt:lpstr>
      <vt:lpstr>Class9</vt:lpstr>
      <vt:lpstr>classification_list</vt:lpstr>
      <vt:lpstr>coi_blank</vt:lpstr>
      <vt:lpstr>coi_ncoi</vt:lpstr>
      <vt:lpstr>coi_ncoi_select</vt:lpstr>
      <vt:lpstr>competency_level</vt:lpstr>
      <vt:lpstr>competency_level_vlookup</vt:lpstr>
      <vt:lpstr>consolidation_status</vt:lpstr>
      <vt:lpstr>COT_count</vt:lpstr>
      <vt:lpstr>COT_helper</vt:lpstr>
      <vt:lpstr>cot_inc_rating_sy_end</vt:lpstr>
      <vt:lpstr>COT1_status</vt:lpstr>
      <vt:lpstr>COT2_status</vt:lpstr>
      <vt:lpstr>COT3_status</vt:lpstr>
      <vt:lpstr>COT4_status</vt:lpstr>
      <vt:lpstr>cotsubjects_list</vt:lpstr>
      <vt:lpstr>curricular_classification_list</vt:lpstr>
      <vt:lpstr>curricular_classification_vlookup</vt:lpstr>
      <vt:lpstr>date_of_review</vt:lpstr>
      <vt:lpstr>degree_list</vt:lpstr>
      <vt:lpstr>demographic_TIN</vt:lpstr>
      <vt:lpstr>demographics_age</vt:lpstr>
      <vt:lpstr>demographics_classification</vt:lpstr>
      <vt:lpstr>demographics_degree</vt:lpstr>
      <vt:lpstr>demographics_degreespecified</vt:lpstr>
      <vt:lpstr>demographics_district</vt:lpstr>
      <vt:lpstr>demographics_division</vt:lpstr>
      <vt:lpstr>demographics_dropdown_select_check</vt:lpstr>
      <vt:lpstr>demographics_email</vt:lpstr>
      <vt:lpstr>demographics_email_check</vt:lpstr>
      <vt:lpstr>demographics_employee_info</vt:lpstr>
      <vt:lpstr>demographics_empstatus</vt:lpstr>
      <vt:lpstr>demographics_experience</vt:lpstr>
      <vt:lpstr>demographics_firstname</vt:lpstr>
      <vt:lpstr>demographics_grade</vt:lpstr>
      <vt:lpstr>demographics_id</vt:lpstr>
      <vt:lpstr>demographics_id_check</vt:lpstr>
      <vt:lpstr>demographics_lastname</vt:lpstr>
      <vt:lpstr>demographics_level</vt:lpstr>
      <vt:lpstr>demographics_locked</vt:lpstr>
      <vt:lpstr>demographics_middlename</vt:lpstr>
      <vt:lpstr>demographics_name</vt:lpstr>
      <vt:lpstr>demographics_others_check</vt:lpstr>
      <vt:lpstr>demographics_position</vt:lpstr>
      <vt:lpstr>demographics_region</vt:lpstr>
      <vt:lpstr>demographics_save_attempt</vt:lpstr>
      <vt:lpstr>demographics_school_id</vt:lpstr>
      <vt:lpstr>demographics_school_info</vt:lpstr>
      <vt:lpstr>demographics_school_name</vt:lpstr>
      <vt:lpstr>demographics_school_size</vt:lpstr>
      <vt:lpstr>demographics_school_type</vt:lpstr>
      <vt:lpstr>demographics_sex</vt:lpstr>
      <vt:lpstr>demographics_specialization</vt:lpstr>
      <vt:lpstr>demographics_strands</vt:lpstr>
      <vt:lpstr>demographics_subjects</vt:lpstr>
      <vt:lpstr>demographics_tickbox_check</vt:lpstr>
      <vt:lpstr>demographics_valid</vt:lpstr>
      <vt:lpstr>demographics_years</vt:lpstr>
      <vt:lpstr>division</vt:lpstr>
      <vt:lpstr>doc_type</vt:lpstr>
      <vt:lpstr>elemgrade_list</vt:lpstr>
      <vt:lpstr>emp_status_list</vt:lpstr>
      <vt:lpstr>encoding_active_rows</vt:lpstr>
      <vt:lpstr>encoding_approver_email</vt:lpstr>
      <vt:lpstr>encoding_approver_email_range</vt:lpstr>
      <vt:lpstr>encoding_approver_firstname</vt:lpstr>
      <vt:lpstr>encoding_approver_firstname_range</vt:lpstr>
      <vt:lpstr>encoding_approver_info</vt:lpstr>
      <vt:lpstr>encoding_approver_lastname</vt:lpstr>
      <vt:lpstr>encoding_approver_lastname_range</vt:lpstr>
      <vt:lpstr>encoding_approver_middlename</vt:lpstr>
      <vt:lpstr>encoding_approver_middlename_range</vt:lpstr>
      <vt:lpstr>encoding_approver_position</vt:lpstr>
      <vt:lpstr>encoding_approver_position_range</vt:lpstr>
      <vt:lpstr>encoding_areAllValid</vt:lpstr>
      <vt:lpstr>encoding_co_select</vt:lpstr>
      <vt:lpstr>encoding_co_type</vt:lpstr>
      <vt:lpstr>encoding_cot_ave</vt:lpstr>
      <vt:lpstr>encoding_cot_check</vt:lpstr>
      <vt:lpstr>encoding_COT_subjects</vt:lpstr>
      <vt:lpstr>encoding_COT1_date</vt:lpstr>
      <vt:lpstr>encoding_COT1_enable</vt:lpstr>
      <vt:lpstr>encoding_COT1_indflags</vt:lpstr>
      <vt:lpstr>encoding_COT1_ratings</vt:lpstr>
      <vt:lpstr>encoding_cot1_scale</vt:lpstr>
      <vt:lpstr>encoding_COT1_subject</vt:lpstr>
      <vt:lpstr>encoding_COT2_date</vt:lpstr>
      <vt:lpstr>encoding_COT2_enable</vt:lpstr>
      <vt:lpstr>encoding_COT2_indflags</vt:lpstr>
      <vt:lpstr>encoding_COT2_ratings</vt:lpstr>
      <vt:lpstr>encoding_cot2_scale</vt:lpstr>
      <vt:lpstr>encoding_COT2_subject</vt:lpstr>
      <vt:lpstr>encoding_COT3_date</vt:lpstr>
      <vt:lpstr>encoding_COT3_enable</vt:lpstr>
      <vt:lpstr>encoding_COT3_indflags</vt:lpstr>
      <vt:lpstr>encoding_COT3_ratings</vt:lpstr>
      <vt:lpstr>encoding_cot3_scale</vt:lpstr>
      <vt:lpstr>encoding_COT3_subject</vt:lpstr>
      <vt:lpstr>encoding_COT4_date</vt:lpstr>
      <vt:lpstr>encoding_COT4_enable</vt:lpstr>
      <vt:lpstr>encoding_COT4_indflags</vt:lpstr>
      <vt:lpstr>encoding_COT4_ratings</vt:lpstr>
      <vt:lpstr>encoding_cot4_scale</vt:lpstr>
      <vt:lpstr>encoding_COT4_subject</vt:lpstr>
      <vt:lpstr>encoding_dropdown_check</vt:lpstr>
      <vt:lpstr>encoding_e_check</vt:lpstr>
      <vt:lpstr>encoding_e_input</vt:lpstr>
      <vt:lpstr>encoding_finalize_attempt</vt:lpstr>
      <vt:lpstr>encoding_q_check</vt:lpstr>
      <vt:lpstr>encoding_q_input</vt:lpstr>
      <vt:lpstr>encoding_rater_email</vt:lpstr>
      <vt:lpstr>encoding_rater_email_range</vt:lpstr>
      <vt:lpstr>encoding_rater_firstname</vt:lpstr>
      <vt:lpstr>encoding_rater_firstname_range</vt:lpstr>
      <vt:lpstr>encoding_rater_info</vt:lpstr>
      <vt:lpstr>encoding_rater_lastname</vt:lpstr>
      <vt:lpstr>encoding_rater_lastname_range</vt:lpstr>
      <vt:lpstr>encoding_rater_middlename</vt:lpstr>
      <vt:lpstr>encoding_rater_middlename_range</vt:lpstr>
      <vt:lpstr>encoding_rater_position</vt:lpstr>
      <vt:lpstr>encoding_rater_position_range</vt:lpstr>
      <vt:lpstr>encoding_review_date</vt:lpstr>
      <vt:lpstr>encoding_review_date_range</vt:lpstr>
      <vt:lpstr>encoding_t_check</vt:lpstr>
      <vt:lpstr>encoding_t_input</vt:lpstr>
      <vt:lpstr>encoding_validation</vt:lpstr>
      <vt:lpstr>encoding_weights</vt:lpstr>
      <vt:lpstr>final_rating</vt:lpstr>
      <vt:lpstr>HP_COT</vt:lpstr>
      <vt:lpstr>HP_COT_vlookup</vt:lpstr>
      <vt:lpstr>HP_positions</vt:lpstr>
      <vt:lpstr>indCount_RHP</vt:lpstr>
      <vt:lpstr>indCount_RP</vt:lpstr>
      <vt:lpstr>indCount_TBHP</vt:lpstr>
      <vt:lpstr>indCount_TBP</vt:lpstr>
      <vt:lpstr>indSelect_RHP</vt:lpstr>
      <vt:lpstr>indSelect_RP</vt:lpstr>
      <vt:lpstr>indSelect_TBHP</vt:lpstr>
      <vt:lpstr>indSelect_TBP</vt:lpstr>
      <vt:lpstr>indSelectValid_RHP</vt:lpstr>
      <vt:lpstr>indSelectValid_RP</vt:lpstr>
      <vt:lpstr>indSelectValid_TBHP</vt:lpstr>
      <vt:lpstr>indSelectValid_TBP</vt:lpstr>
      <vt:lpstr>indWeight_RHP</vt:lpstr>
      <vt:lpstr>indWeight_RP</vt:lpstr>
      <vt:lpstr>indWeight_TBHP</vt:lpstr>
      <vt:lpstr>indWeight_TBP</vt:lpstr>
      <vt:lpstr>info_active_rows</vt:lpstr>
      <vt:lpstr>info_adjustable_rows</vt:lpstr>
      <vt:lpstr>info_proceed_attempt</vt:lpstr>
      <vt:lpstr>info_valid</vt:lpstr>
      <vt:lpstr>info_version</vt:lpstr>
      <vt:lpstr>jhsgrade_list</vt:lpstr>
      <vt:lpstr>kinder_list</vt:lpstr>
      <vt:lpstr>level_taught</vt:lpstr>
      <vt:lpstr>level_taught_list</vt:lpstr>
      <vt:lpstr>level_vlookup</vt:lpstr>
      <vt:lpstr>meta_office_version</vt:lpstr>
      <vt:lpstr>NCR_divlist</vt:lpstr>
      <vt:lpstr>NCR_vlookup</vt:lpstr>
      <vt:lpstr>NoCOlist</vt:lpstr>
      <vt:lpstr>P_COT</vt:lpstr>
      <vt:lpstr>P_COT_vlookup</vt:lpstr>
      <vt:lpstr>P_positions</vt:lpstr>
      <vt:lpstr>PART1_adjustable_rows</vt:lpstr>
      <vt:lpstr>Part1_data</vt:lpstr>
      <vt:lpstr>Part1_date_finalized</vt:lpstr>
      <vt:lpstr>PART1_locked</vt:lpstr>
      <vt:lpstr>PART1_qet_check</vt:lpstr>
      <vt:lpstr>Part2_data</vt:lpstr>
      <vt:lpstr>Part2_date_finalized</vt:lpstr>
      <vt:lpstr>part2_innov_selection</vt:lpstr>
      <vt:lpstr>PART2_locked</vt:lpstr>
      <vt:lpstr>part2_pe_selection</vt:lpstr>
      <vt:lpstr>part2_rf_selection</vt:lpstr>
      <vt:lpstr>part2_selection</vt:lpstr>
      <vt:lpstr>part2_sm_selection</vt:lpstr>
      <vt:lpstr>part2_so_selection</vt:lpstr>
      <vt:lpstr>part2_tw_selection</vt:lpstr>
      <vt:lpstr>PART3_active_rows</vt:lpstr>
      <vt:lpstr>part4_areAllValid</vt:lpstr>
      <vt:lpstr>part4_behavioral</vt:lpstr>
      <vt:lpstr>part4_behavioral_adjustable_rows</vt:lpstr>
      <vt:lpstr>part4_behavioral_strengths</vt:lpstr>
      <vt:lpstr>part4_behavioral_weakness</vt:lpstr>
      <vt:lpstr>Part4_date_finalized</vt:lpstr>
      <vt:lpstr>part4_feedback</vt:lpstr>
      <vt:lpstr>part4_finalize_attempt</vt:lpstr>
      <vt:lpstr>part4_functional</vt:lpstr>
      <vt:lpstr>part4_functional_adjustable_rows</vt:lpstr>
      <vt:lpstr>part4_functional_strengths</vt:lpstr>
      <vt:lpstr>part4_functional_weakness</vt:lpstr>
      <vt:lpstr>PART4_locked</vt:lpstr>
      <vt:lpstr>positions_list</vt:lpstr>
      <vt:lpstr>'Demographic Profile'!Print_Area</vt:lpstr>
      <vt:lpstr>'Encoding Part 1'!Print_Area</vt:lpstr>
      <vt:lpstr>'Encoding Part 2'!Print_Area</vt:lpstr>
      <vt:lpstr>'PART 1'!Print_Area</vt:lpstr>
      <vt:lpstr>'PART 2'!Print_Area</vt:lpstr>
      <vt:lpstr>'PART 3'!Print_Area</vt:lpstr>
      <vt:lpstr>'PART 4'!Print_Area</vt:lpstr>
      <vt:lpstr>Status!Print_Area</vt:lpstr>
      <vt:lpstr>'PART 1'!Print_Titles</vt:lpstr>
      <vt:lpstr>'PART 3'!Print_Titles</vt:lpstr>
      <vt:lpstr>'PART 4'!Print_Titles</vt:lpstr>
      <vt:lpstr>Status!profile_emp_info1</vt:lpstr>
      <vt:lpstr>profile_emp_info1</vt:lpstr>
      <vt:lpstr>profile_emp_info2</vt:lpstr>
      <vt:lpstr>profile_grades</vt:lpstr>
      <vt:lpstr>profile_lockable</vt:lpstr>
      <vt:lpstr>profile_name_locked</vt:lpstr>
      <vt:lpstr>Status!profile_school_info</vt:lpstr>
      <vt:lpstr>profile_school_info</vt:lpstr>
      <vt:lpstr>profile_specialization</vt:lpstr>
      <vt:lpstr>profile_specialization_others</vt:lpstr>
      <vt:lpstr>profile_strands</vt:lpstr>
      <vt:lpstr>profile_subjects</vt:lpstr>
      <vt:lpstr>profile_subjects_others</vt:lpstr>
      <vt:lpstr>ratee_lock_password</vt:lpstr>
      <vt:lpstr>rater_lock_password</vt:lpstr>
      <vt:lpstr>raterpositions_list</vt:lpstr>
      <vt:lpstr>rating_desc_vlookup</vt:lpstr>
      <vt:lpstr>rating_period</vt:lpstr>
      <vt:lpstr>REG1_divlist</vt:lpstr>
      <vt:lpstr>REG1_vlookup</vt:lpstr>
      <vt:lpstr>REG10_divlist</vt:lpstr>
      <vt:lpstr>REG10_vlookup</vt:lpstr>
      <vt:lpstr>REG11_divlist</vt:lpstr>
      <vt:lpstr>REG11_vlookup</vt:lpstr>
      <vt:lpstr>REG12_divlist</vt:lpstr>
      <vt:lpstr>REG12_vlookup</vt:lpstr>
      <vt:lpstr>REG13_divlist</vt:lpstr>
      <vt:lpstr>REG13_vlookup</vt:lpstr>
      <vt:lpstr>REG2_divlist</vt:lpstr>
      <vt:lpstr>REG2_vlookup</vt:lpstr>
      <vt:lpstr>REG3_divlist</vt:lpstr>
      <vt:lpstr>REG3_vlookup</vt:lpstr>
      <vt:lpstr>REG4A_divlist</vt:lpstr>
      <vt:lpstr>REG4A_vlookup</vt:lpstr>
      <vt:lpstr>REG4B_divlist</vt:lpstr>
      <vt:lpstr>REG4B_vlookup</vt:lpstr>
      <vt:lpstr>REG5_divlist</vt:lpstr>
      <vt:lpstr>REG5_vlookup</vt:lpstr>
      <vt:lpstr>REG6_divlist</vt:lpstr>
      <vt:lpstr>REG6_vlookup</vt:lpstr>
      <vt:lpstr>REG7_divlist</vt:lpstr>
      <vt:lpstr>REG7_vlookup</vt:lpstr>
      <vt:lpstr>REG8_divlist</vt:lpstr>
      <vt:lpstr>REG8_vlookup</vt:lpstr>
      <vt:lpstr>REG9_divlist</vt:lpstr>
      <vt:lpstr>REG9_vlookup</vt:lpstr>
      <vt:lpstr>region</vt:lpstr>
      <vt:lpstr>regions_list</vt:lpstr>
      <vt:lpstr>regions_vlookup</vt:lpstr>
      <vt:lpstr>required_cot</vt:lpstr>
      <vt:lpstr>RHP_Select_Data</vt:lpstr>
      <vt:lpstr>RHP_Weight_Data</vt:lpstr>
      <vt:lpstr>RI_divlist</vt:lpstr>
      <vt:lpstr>RII_divlist</vt:lpstr>
      <vt:lpstr>RIII_divlist</vt:lpstr>
      <vt:lpstr>RIVA_divlist</vt:lpstr>
      <vt:lpstr>RIVB_divlist</vt:lpstr>
      <vt:lpstr>RIX_divlist</vt:lpstr>
      <vt:lpstr>RP_Select_Data</vt:lpstr>
      <vt:lpstr>RP_Weight_Data</vt:lpstr>
      <vt:lpstr>RV_divlist</vt:lpstr>
      <vt:lpstr>RVI_divlist</vt:lpstr>
      <vt:lpstr>RVII_divlist</vt:lpstr>
      <vt:lpstr>RVIII_divlist</vt:lpstr>
      <vt:lpstr>RX_divlist</vt:lpstr>
      <vt:lpstr>RXI_divlist</vt:lpstr>
      <vt:lpstr>RXII_divlist</vt:lpstr>
      <vt:lpstr>save_status</vt:lpstr>
      <vt:lpstr>school_id</vt:lpstr>
      <vt:lpstr>school_name</vt:lpstr>
      <vt:lpstr>school_size_list</vt:lpstr>
      <vt:lpstr>school_type_list</vt:lpstr>
      <vt:lpstr>selected_career_stage</vt:lpstr>
      <vt:lpstr>selected_teacher_type</vt:lpstr>
      <vt:lpstr>setup_attempted</vt:lpstr>
      <vt:lpstr>setup_status</vt:lpstr>
      <vt:lpstr>setup_valid</vt:lpstr>
      <vt:lpstr>sex_list</vt:lpstr>
      <vt:lpstr>shsgrade_list</vt:lpstr>
      <vt:lpstr>specialization_list</vt:lpstr>
      <vt:lpstr>status_version</vt:lpstr>
      <vt:lpstr>strands_list</vt:lpstr>
      <vt:lpstr>subjects_list</vt:lpstr>
      <vt:lpstr>sy_end</vt:lpstr>
      <vt:lpstr>sy_start</vt:lpstr>
      <vt:lpstr>TBHP_Select_Data</vt:lpstr>
      <vt:lpstr>TBHP_Weight_Data</vt:lpstr>
      <vt:lpstr>TBP_Select_Data</vt:lpstr>
      <vt:lpstr>TBP_Weight_Data</vt:lpstr>
      <vt:lpstr>teacher_name</vt:lpstr>
      <vt:lpstr>teacher_type</vt:lpstr>
      <vt:lpstr>teacher_type_code_lookup</vt:lpstr>
      <vt:lpstr>teacher_type_list</vt:lpstr>
      <vt:lpstr>ticks_elembox</vt:lpstr>
      <vt:lpstr>ticks_grades</vt:lpstr>
      <vt:lpstr>ticks_jhsbox</vt:lpstr>
      <vt:lpstr>ticks_shsbox</vt:lpstr>
      <vt:lpstr>ticks_strandsbox</vt:lpstr>
      <vt:lpstr>ticks_subjectsbox</vt:lpstr>
      <vt:lpstr>uniquepersonnelid</vt:lpstr>
      <vt:lpstr>version</vt:lpstr>
      <vt:lpstr>years_in_teaching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 Paula Bianca T. Manas;kevin.milo@deped.gov.ph</dc:creator>
  <cp:keywords/>
  <dc:description/>
  <cp:lastModifiedBy>ROWENA GOLLA</cp:lastModifiedBy>
  <cp:revision/>
  <cp:lastPrinted>2024-09-15T15:30:48Z</cp:lastPrinted>
  <dcterms:created xsi:type="dcterms:W3CDTF">2022-01-20T23:20:48Z</dcterms:created>
  <dcterms:modified xsi:type="dcterms:W3CDTF">2024-09-15T15:32:13Z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0x01010057E5B2F604C44B46A7E79383DC4F853D</vt:lpwstr>
  </property>
</Properties>
</file>