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210" windowWidth="28800" windowHeight="12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1" l="1"/>
  <c r="P62" i="1"/>
  <c r="P61" i="1"/>
  <c r="P58" i="1"/>
  <c r="P59" i="1"/>
  <c r="P60" i="1"/>
  <c r="P57" i="1"/>
  <c r="T57" i="1" s="1"/>
  <c r="O62" i="1"/>
  <c r="O61" i="1"/>
  <c r="O59" i="1"/>
  <c r="AU59" i="1" s="1"/>
  <c r="O58" i="1"/>
  <c r="K61" i="1"/>
  <c r="J62" i="1"/>
  <c r="J61" i="1"/>
  <c r="J59" i="1"/>
  <c r="J58" i="1"/>
  <c r="K58" i="1"/>
  <c r="AU58" i="1" s="1"/>
  <c r="H59" i="1"/>
  <c r="H58" i="1"/>
  <c r="AU60" i="1"/>
  <c r="AR68" i="1"/>
  <c r="AR69" i="1"/>
  <c r="AR70" i="1"/>
  <c r="AR71" i="1"/>
  <c r="AQ59" i="1"/>
  <c r="AQ60" i="1"/>
  <c r="AQ61" i="1"/>
  <c r="AQ62" i="1"/>
  <c r="AQ63" i="1"/>
  <c r="AQ64" i="1"/>
  <c r="AP58" i="1"/>
  <c r="AP59" i="1"/>
  <c r="AP60" i="1"/>
  <c r="AP61" i="1"/>
  <c r="AP62" i="1"/>
  <c r="AO58" i="1"/>
  <c r="AO59" i="1"/>
  <c r="AO60" i="1"/>
  <c r="AN68" i="1"/>
  <c r="AM59" i="1"/>
  <c r="AK68" i="1"/>
  <c r="AK69" i="1"/>
  <c r="AK70" i="1"/>
  <c r="AK71" i="1"/>
  <c r="AK72" i="1"/>
  <c r="AL58" i="1"/>
  <c r="AJ59" i="1"/>
  <c r="AJ60" i="1"/>
  <c r="AJ61" i="1"/>
  <c r="AJ62" i="1"/>
  <c r="AJ63" i="1"/>
  <c r="AJ64" i="1"/>
  <c r="AJ65" i="1"/>
  <c r="AI57" i="1"/>
  <c r="AI58" i="1"/>
  <c r="AI59" i="1"/>
  <c r="AI60" i="1"/>
  <c r="AF57" i="1"/>
  <c r="AF58" i="1"/>
  <c r="AF59" i="1"/>
  <c r="AF60" i="1"/>
  <c r="AF61" i="1"/>
  <c r="AI61" i="1" s="1"/>
  <c r="AF62" i="1"/>
  <c r="AI62" i="1" s="1"/>
  <c r="AL62" i="1" s="1"/>
  <c r="AF63" i="1"/>
  <c r="H62" i="1"/>
  <c r="H61" i="1"/>
  <c r="AU57" i="1"/>
  <c r="AU61" i="1"/>
  <c r="AU62" i="1"/>
  <c r="AY74" i="1" s="1"/>
  <c r="AK75" i="1"/>
  <c r="AL57" i="1"/>
  <c r="AO57" i="1" s="1"/>
  <c r="AP57" i="1" s="1"/>
  <c r="AL59" i="1"/>
  <c r="AM60" i="1"/>
  <c r="T60" i="1"/>
  <c r="T61" i="1"/>
  <c r="AD57" i="1"/>
  <c r="AD59" i="1"/>
  <c r="AD60" i="1"/>
  <c r="AD61" i="1"/>
  <c r="AD62" i="1"/>
  <c r="AD64" i="1"/>
  <c r="AD65" i="1"/>
  <c r="AD66" i="1"/>
  <c r="AD67" i="1"/>
  <c r="AD74" i="1"/>
  <c r="AD75" i="1"/>
  <c r="AD76" i="1"/>
  <c r="AD63" i="1"/>
  <c r="H71" i="1"/>
  <c r="T71" i="1" s="1"/>
  <c r="H70" i="1"/>
  <c r="H68" i="1"/>
  <c r="H67" i="1"/>
  <c r="H65" i="1"/>
  <c r="H64" i="1"/>
  <c r="AY39" i="1"/>
  <c r="AU47" i="1"/>
  <c r="B71" i="1"/>
  <c r="O71" i="1"/>
  <c r="B72" i="1"/>
  <c r="B73" i="1"/>
  <c r="T72" i="1"/>
  <c r="T62" i="1" l="1"/>
  <c r="T59" i="1"/>
  <c r="AE59" i="1" s="1"/>
  <c r="AX62" i="1"/>
  <c r="AX61" i="1"/>
  <c r="AX60" i="1"/>
  <c r="T58" i="1"/>
  <c r="AE58" i="1" s="1"/>
  <c r="AV59" i="1"/>
  <c r="AW58" i="1"/>
  <c r="AV58" i="1"/>
  <c r="AW59" i="1"/>
  <c r="AL60" i="1"/>
  <c r="AL61" i="1"/>
  <c r="AM61" i="1"/>
  <c r="AM62" i="1"/>
  <c r="AO62" i="1" s="1"/>
  <c r="AE61" i="1"/>
  <c r="AE60" i="1"/>
  <c r="AE62" i="1"/>
  <c r="AE57" i="1"/>
  <c r="AV57" i="1"/>
  <c r="AW62" i="1"/>
  <c r="AW61" i="1"/>
  <c r="AW60" i="1"/>
  <c r="C71" i="1"/>
  <c r="C72" i="1"/>
  <c r="AO61" i="1" l="1"/>
  <c r="AV61" i="1" s="1"/>
  <c r="AV60" i="1"/>
  <c r="AV62" i="1" l="1"/>
  <c r="B64" i="1" l="1"/>
  <c r="B65" i="1"/>
  <c r="B66" i="1"/>
  <c r="B67" i="1"/>
  <c r="B68" i="1"/>
  <c r="B69" i="1"/>
  <c r="B70" i="1"/>
  <c r="C70" i="1" s="1"/>
  <c r="B74" i="1"/>
  <c r="C73" i="1" s="1"/>
  <c r="B75" i="1"/>
  <c r="C75" i="1" s="1"/>
  <c r="B76" i="1"/>
  <c r="C76" i="1" s="1"/>
  <c r="B63" i="1"/>
  <c r="C63" i="1" s="1"/>
  <c r="C65" i="1" l="1"/>
  <c r="C64" i="1"/>
  <c r="C68" i="1"/>
  <c r="C69" i="1"/>
  <c r="C67" i="1"/>
  <c r="C66" i="1"/>
  <c r="C74" i="1"/>
  <c r="T75" i="1"/>
  <c r="AE75" i="1" s="1"/>
  <c r="T76" i="1"/>
  <c r="AE76" i="1" s="1"/>
  <c r="AU76" i="1"/>
  <c r="AU75" i="1"/>
  <c r="AF75" i="1"/>
  <c r="AI75" i="1" s="1"/>
  <c r="AF76" i="1"/>
  <c r="AI76" i="1" s="1"/>
  <c r="AL76" i="1" s="1"/>
  <c r="AU66" i="1"/>
  <c r="AU69" i="1"/>
  <c r="AY69" i="1" s="1"/>
  <c r="AU72" i="1"/>
  <c r="AY72" i="1" s="1"/>
  <c r="AU73" i="1"/>
  <c r="AY73" i="1" s="1"/>
  <c r="AU74" i="1"/>
  <c r="AU63" i="1"/>
  <c r="AF64" i="1"/>
  <c r="AI64" i="1" s="1"/>
  <c r="AF65" i="1"/>
  <c r="AI65" i="1" s="1"/>
  <c r="AF66" i="1"/>
  <c r="AI66" i="1" s="1"/>
  <c r="AF67" i="1"/>
  <c r="AI67" i="1" s="1"/>
  <c r="AF68" i="1"/>
  <c r="AI68" i="1" s="1"/>
  <c r="AF69" i="1"/>
  <c r="AI69" i="1" s="1"/>
  <c r="AL69" i="1" s="1"/>
  <c r="AF70" i="1"/>
  <c r="AI70" i="1" s="1"/>
  <c r="AL70" i="1" s="1"/>
  <c r="AF71" i="1"/>
  <c r="AI71" i="1" s="1"/>
  <c r="AL71" i="1" s="1"/>
  <c r="AF72" i="1"/>
  <c r="AI72" i="1" s="1"/>
  <c r="AF73" i="1"/>
  <c r="AI73" i="1" s="1"/>
  <c r="AL73" i="1" s="1"/>
  <c r="AF74" i="1"/>
  <c r="AI74" i="1" s="1"/>
  <c r="AL74" i="1" s="1"/>
  <c r="AI63" i="1"/>
  <c r="AA69" i="1"/>
  <c r="AD69" i="1" s="1"/>
  <c r="AA70" i="1"/>
  <c r="AD70" i="1" s="1"/>
  <c r="AA71" i="1"/>
  <c r="AD71" i="1" s="1"/>
  <c r="AE71" i="1" s="1"/>
  <c r="AA72" i="1"/>
  <c r="AD72" i="1" s="1"/>
  <c r="AE72" i="1" s="1"/>
  <c r="AA73" i="1"/>
  <c r="AD73" i="1" s="1"/>
  <c r="AA68" i="1"/>
  <c r="AD68" i="1" s="1"/>
  <c r="O70" i="1"/>
  <c r="T70" i="1" s="1"/>
  <c r="AE70" i="1" s="1"/>
  <c r="O68" i="1"/>
  <c r="T68" i="1" s="1"/>
  <c r="AE68" i="1" s="1"/>
  <c r="O67" i="1"/>
  <c r="O65" i="1"/>
  <c r="O64" i="1"/>
  <c r="K67" i="1"/>
  <c r="J65" i="1"/>
  <c r="AU65" i="1" s="1"/>
  <c r="AX65" i="1" s="1"/>
  <c r="J64" i="1"/>
  <c r="K64" i="1"/>
  <c r="T63" i="1"/>
  <c r="AE63" i="1" s="1"/>
  <c r="T66" i="1"/>
  <c r="AE66" i="1" s="1"/>
  <c r="T69" i="1"/>
  <c r="T73" i="1"/>
  <c r="T74" i="1"/>
  <c r="AE74" i="1" s="1"/>
  <c r="AW63" i="1" l="1"/>
  <c r="AX63" i="1"/>
  <c r="AN69" i="1"/>
  <c r="AK74" i="1"/>
  <c r="AN70" i="1"/>
  <c r="AN71" i="1"/>
  <c r="AM63" i="1"/>
  <c r="AN72" i="1"/>
  <c r="AM64" i="1"/>
  <c r="AK73" i="1"/>
  <c r="AN73" i="1" s="1"/>
  <c r="AE73" i="1"/>
  <c r="AE69" i="1"/>
  <c r="AX72" i="1"/>
  <c r="AU67" i="1"/>
  <c r="AW67" i="1" s="1"/>
  <c r="AW73" i="1"/>
  <c r="AX76" i="1"/>
  <c r="AW74" i="1"/>
  <c r="AU64" i="1"/>
  <c r="AX64" i="1" s="1"/>
  <c r="AW66" i="1"/>
  <c r="AL67" i="1"/>
  <c r="AJ69" i="1"/>
  <c r="AM69" i="1" s="1"/>
  <c r="AL68" i="1"/>
  <c r="AJ70" i="1"/>
  <c r="AM70" i="1" s="1"/>
  <c r="AX66" i="1"/>
  <c r="AY75" i="1"/>
  <c r="AX75" i="1"/>
  <c r="AU71" i="1"/>
  <c r="AY71" i="1" s="1"/>
  <c r="AJ74" i="1"/>
  <c r="AM74" i="1" s="1"/>
  <c r="AJ73" i="1"/>
  <c r="AM73" i="1" s="1"/>
  <c r="AU70" i="1"/>
  <c r="AY70" i="1" s="1"/>
  <c r="AJ72" i="1"/>
  <c r="AM72" i="1" s="1"/>
  <c r="AX69" i="1"/>
  <c r="AJ71" i="1"/>
  <c r="AM71" i="1" s="1"/>
  <c r="AO71" i="1" s="1"/>
  <c r="AP71" i="1" s="1"/>
  <c r="AU68" i="1"/>
  <c r="AW76" i="1"/>
  <c r="AW75" i="1"/>
  <c r="AL75" i="1"/>
  <c r="AJ76" i="1"/>
  <c r="AM76" i="1" s="1"/>
  <c r="AK76" i="1"/>
  <c r="AN76" i="1" s="1"/>
  <c r="AJ75" i="1"/>
  <c r="AM75" i="1" s="1"/>
  <c r="AN75" i="1"/>
  <c r="AJ68" i="1"/>
  <c r="AM68" i="1" s="1"/>
  <c r="AL66" i="1"/>
  <c r="AJ67" i="1"/>
  <c r="AM67" i="1" s="1"/>
  <c r="AL65" i="1"/>
  <c r="AJ66" i="1"/>
  <c r="AM66" i="1" s="1"/>
  <c r="AL64" i="1"/>
  <c r="AO64" i="1" s="1"/>
  <c r="AP64" i="1" s="1"/>
  <c r="AM65" i="1"/>
  <c r="AN74" i="1"/>
  <c r="AL63" i="1"/>
  <c r="AL72" i="1"/>
  <c r="T67" i="1"/>
  <c r="AE67" i="1" s="1"/>
  <c r="T65" i="1"/>
  <c r="AE65" i="1" s="1"/>
  <c r="T64" i="1"/>
  <c r="AE64" i="1" s="1"/>
  <c r="AO70" i="1" l="1"/>
  <c r="AP70" i="1" s="1"/>
  <c r="AO73" i="1"/>
  <c r="AP73" i="1" s="1"/>
  <c r="AO63" i="1"/>
  <c r="AP63" i="1" s="1"/>
  <c r="AO69" i="1"/>
  <c r="AP69" i="1" s="1"/>
  <c r="AQ71" i="1" s="1"/>
  <c r="AS71" i="1" s="1"/>
  <c r="AO65" i="1"/>
  <c r="AP65" i="1" s="1"/>
  <c r="AQ67" i="1" s="1"/>
  <c r="AO74" i="1"/>
  <c r="AP74" i="1" s="1"/>
  <c r="AW65" i="1"/>
  <c r="AX67" i="1"/>
  <c r="AY76" i="1"/>
  <c r="AW64" i="1"/>
  <c r="AO67" i="1"/>
  <c r="AP67" i="1" s="1"/>
  <c r="AO72" i="1"/>
  <c r="AP72" i="1" s="1"/>
  <c r="AO66" i="1"/>
  <c r="AP66" i="1" s="1"/>
  <c r="AO68" i="1"/>
  <c r="AP68" i="1" s="1"/>
  <c r="AQ68" i="1" s="1"/>
  <c r="AO75" i="1"/>
  <c r="AP75" i="1" s="1"/>
  <c r="AW68" i="1"/>
  <c r="AX68" i="1"/>
  <c r="AW69" i="1"/>
  <c r="AX70" i="1"/>
  <c r="AW70" i="1"/>
  <c r="AX73" i="1"/>
  <c r="AX74" i="1"/>
  <c r="AX71" i="1"/>
  <c r="AW71" i="1"/>
  <c r="AW72" i="1"/>
  <c r="AO76" i="1"/>
  <c r="AP76" i="1" s="1"/>
  <c r="AR74" i="1" l="1"/>
  <c r="AQ66" i="1"/>
  <c r="AQ65" i="1"/>
  <c r="AR73" i="1"/>
  <c r="AV64" i="1"/>
  <c r="AS64" i="1"/>
  <c r="AR72" i="1"/>
  <c r="AV63" i="1"/>
  <c r="AS63" i="1"/>
  <c r="AS65" i="1"/>
  <c r="AV65" i="1"/>
  <c r="AV71" i="1"/>
  <c r="AQ74" i="1"/>
  <c r="AQ72" i="1"/>
  <c r="AR76" i="1"/>
  <c r="AQ75" i="1"/>
  <c r="AR75" i="1"/>
  <c r="AQ73" i="1"/>
  <c r="AQ70" i="1"/>
  <c r="AQ69" i="1"/>
  <c r="AQ76" i="1"/>
  <c r="AS70" i="1" l="1"/>
  <c r="AV70" i="1"/>
  <c r="AS66" i="1"/>
  <c r="AV66" i="1"/>
  <c r="AS69" i="1"/>
  <c r="AV69" i="1"/>
  <c r="AS68" i="1"/>
  <c r="AV68" i="1"/>
  <c r="AS67" i="1"/>
  <c r="AV67" i="1"/>
  <c r="AV73" i="1"/>
  <c r="AS73" i="1"/>
  <c r="AS72" i="1"/>
  <c r="AV72" i="1"/>
  <c r="AV74" i="1"/>
  <c r="AS74" i="1"/>
  <c r="AV76" i="1"/>
  <c r="AS76" i="1"/>
  <c r="AV75" i="1"/>
  <c r="AS75" i="1"/>
  <c r="AS54" i="1" l="1"/>
  <c r="AT66" i="1" l="1"/>
  <c r="AT70" i="1"/>
  <c r="AT71" i="1"/>
  <c r="AT72" i="1"/>
  <c r="AT73" i="1"/>
  <c r="AT74" i="1"/>
  <c r="AT75" i="1"/>
  <c r="AT76" i="1"/>
  <c r="AT64" i="1"/>
  <c r="AT65" i="1"/>
  <c r="AT67" i="1"/>
  <c r="AT68" i="1"/>
  <c r="AT69" i="1"/>
  <c r="AT63" i="1"/>
</calcChain>
</file>

<file path=xl/sharedStrings.xml><?xml version="1.0" encoding="utf-8"?>
<sst xmlns="http://schemas.openxmlformats.org/spreadsheetml/2006/main" count="84" uniqueCount="75">
  <si>
    <t>PNC Checking</t>
  </si>
  <si>
    <t>USAA Checking</t>
  </si>
  <si>
    <t>Ally Savings</t>
  </si>
  <si>
    <t>Wells Fargo Checking</t>
  </si>
  <si>
    <t>Wells Fargo Savings</t>
  </si>
  <si>
    <t>Vanguard IRA - Chris</t>
  </si>
  <si>
    <t>Vanguard Roth IRA - Chris</t>
  </si>
  <si>
    <t>Vanguard Roth IRA - Shannon</t>
  </si>
  <si>
    <t>JH 401(k)</t>
  </si>
  <si>
    <t>FBA HSA</t>
  </si>
  <si>
    <t>Edward Jones IRA</t>
  </si>
  <si>
    <t>Edward Jones Taxable</t>
  </si>
  <si>
    <t>Betterment Taxable</t>
  </si>
  <si>
    <t>USAA Roth IRA - Chris</t>
  </si>
  <si>
    <t>USAA IRA - Chris</t>
  </si>
  <si>
    <t>Discover CC</t>
  </si>
  <si>
    <t>Chase SP CC</t>
  </si>
  <si>
    <t>USAA CC</t>
  </si>
  <si>
    <t>AmEx BCP CC</t>
  </si>
  <si>
    <t>insert above here</t>
  </si>
  <si>
    <t>HSA Invest</t>
  </si>
  <si>
    <t>Navient Loan 1</t>
  </si>
  <si>
    <t>Navient Loan 2</t>
  </si>
  <si>
    <t>Navient Loan 3</t>
  </si>
  <si>
    <t>Navient Loan 4</t>
  </si>
  <si>
    <t>Net Worth</t>
  </si>
  <si>
    <t>DEBTS</t>
  </si>
  <si>
    <t>Expense Calculations</t>
  </si>
  <si>
    <t>United CC</t>
  </si>
  <si>
    <t>Other Direct Expenses</t>
  </si>
  <si>
    <t>Rent/ Mortgage</t>
  </si>
  <si>
    <t>Total Monthly Expenses</t>
  </si>
  <si>
    <t>3 Month Avg Monthly Expenses</t>
  </si>
  <si>
    <t>12 Month Avg Monthly Expenses</t>
  </si>
  <si>
    <t>3 Month Average Annual Expenses</t>
  </si>
  <si>
    <t>12 Month Average Annual Expenses</t>
  </si>
  <si>
    <t>1 Month Average Annual Expenses</t>
  </si>
  <si>
    <t>Portfolio Calculations</t>
  </si>
  <si>
    <t>Annual Expenses</t>
  </si>
  <si>
    <t>Portfolio Required to Support Current Spending @ SWR</t>
  </si>
  <si>
    <t>SWR</t>
  </si>
  <si>
    <t>Current Portfolio Balance</t>
  </si>
  <si>
    <t>Progress</t>
  </si>
  <si>
    <t>Monthly Increase</t>
  </si>
  <si>
    <t>Quarterly Increase</t>
  </si>
  <si>
    <t>Annual Increase</t>
  </si>
  <si>
    <t>Credit Card Expenses</t>
  </si>
  <si>
    <t>Time To FI</t>
  </si>
  <si>
    <t>3 month running avg portfolio required @ SWR</t>
  </si>
  <si>
    <t>12 month running avg portfolio required @ SWR</t>
  </si>
  <si>
    <t>Target Series (based on 3 month running avg)</t>
  </si>
  <si>
    <t>Target</t>
  </si>
  <si>
    <t>find target portfolio (3 month avg)</t>
  </si>
  <si>
    <t>Trendline</t>
  </si>
  <si>
    <t>x^4</t>
  </si>
  <si>
    <t>x^3</t>
  </si>
  <si>
    <t>x^2</t>
  </si>
  <si>
    <t>x</t>
  </si>
  <si>
    <t>Formula</t>
  </si>
  <si>
    <t>Est. FI</t>
  </si>
  <si>
    <t>ASSETS</t>
  </si>
  <si>
    <t>TOTAL ASSETS</t>
  </si>
  <si>
    <t>TOTAL DEBTS</t>
  </si>
  <si>
    <t>graph on website</t>
  </si>
  <si>
    <t>monthly statement, 10th</t>
  </si>
  <si>
    <t>calculated from YNAB</t>
  </si>
  <si>
    <t>manual checking on website</t>
  </si>
  <si>
    <t>monthly statement, end of month</t>
  </si>
  <si>
    <t>closed</t>
  </si>
  <si>
    <t>static value</t>
  </si>
  <si>
    <t>monthly statement, 9th, daily balance summary</t>
  </si>
  <si>
    <t>export, then back calc from current balance</t>
  </si>
  <si>
    <t>notes</t>
  </si>
  <si>
    <t>JH 401(k) transferred in $16997.46 from GAC</t>
  </si>
  <si>
    <t>FBA HSA transferred $2910.93 from 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</si>
</sst>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4">
    <xf numFmtId="0" fontId="0" fillId="0" borderId="0" xfId="0"/>
    <xf numFmtId="14" fontId="0" fillId="0" borderId="0" xfId="0" applyNumberFormat="1"/>
    <xf numFmtId="4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40" fontId="1" fillId="2" borderId="1" xfId="1" applyNumberFormat="1"/>
    <xf numFmtId="40" fontId="2" fillId="0" borderId="0" xfId="0" applyNumberFormat="1" applyFont="1"/>
    <xf numFmtId="14" fontId="2" fillId="0" borderId="2" xfId="0" applyNumberFormat="1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0" fontId="0" fillId="0" borderId="5" xfId="0" applyNumberFormat="1" applyBorder="1"/>
    <xf numFmtId="40" fontId="0" fillId="0" borderId="0" xfId="0" applyNumberFormat="1" applyBorder="1"/>
    <xf numFmtId="40" fontId="2" fillId="0" borderId="6" xfId="0" applyNumberFormat="1" applyFont="1" applyBorder="1"/>
    <xf numFmtId="40" fontId="1" fillId="2" borderId="1" xfId="1" applyNumberFormat="1" applyBorder="1"/>
    <xf numFmtId="40" fontId="0" fillId="0" borderId="7" xfId="0" applyNumberFormat="1" applyBorder="1"/>
    <xf numFmtId="40" fontId="0" fillId="0" borderId="8" xfId="0" applyNumberFormat="1" applyBorder="1"/>
    <xf numFmtId="40" fontId="2" fillId="0" borderId="9" xfId="0" applyNumberFormat="1" applyFont="1" applyBorder="1"/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40" fontId="2" fillId="0" borderId="0" xfId="0" applyNumberFormat="1" applyFont="1" applyAlignment="1">
      <alignment wrapText="1"/>
    </xf>
    <xf numFmtId="0" fontId="2" fillId="0" borderId="2" xfId="0" applyFont="1" applyBorder="1" applyAlignment="1">
      <alignment wrapText="1"/>
    </xf>
    <xf numFmtId="40" fontId="2" fillId="0" borderId="5" xfId="0" applyNumberFormat="1" applyFont="1" applyBorder="1" applyAlignment="1">
      <alignment wrapText="1"/>
    </xf>
    <xf numFmtId="40" fontId="2" fillId="0" borderId="0" xfId="0" applyNumberFormat="1" applyFont="1" applyBorder="1" applyAlignment="1">
      <alignment wrapText="1"/>
    </xf>
    <xf numFmtId="40" fontId="2" fillId="0" borderId="6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10" fontId="0" fillId="0" borderId="0" xfId="0" applyNumberFormat="1"/>
    <xf numFmtId="10" fontId="2" fillId="0" borderId="0" xfId="0" applyNumberFormat="1" applyFont="1" applyBorder="1" applyAlignment="1">
      <alignment wrapText="1"/>
    </xf>
    <xf numFmtId="10" fontId="2" fillId="0" borderId="6" xfId="0" applyNumberFormat="1" applyFont="1" applyBorder="1" applyAlignment="1">
      <alignment wrapText="1"/>
    </xf>
    <xf numFmtId="40" fontId="2" fillId="0" borderId="7" xfId="0" applyNumberFormat="1" applyFont="1" applyBorder="1" applyAlignment="1">
      <alignment wrapText="1"/>
    </xf>
    <xf numFmtId="10" fontId="2" fillId="0" borderId="8" xfId="0" applyNumberFormat="1" applyFont="1" applyBorder="1" applyAlignment="1">
      <alignment wrapText="1"/>
    </xf>
    <xf numFmtId="10" fontId="2" fillId="0" borderId="9" xfId="0" applyNumberFormat="1" applyFont="1" applyBorder="1" applyAlignment="1">
      <alignment wrapText="1"/>
    </xf>
    <xf numFmtId="0" fontId="0" fillId="0" borderId="0" xfId="0" applyBorder="1"/>
    <xf numFmtId="0" fontId="2" fillId="0" borderId="0" xfId="0" applyNumberFormat="1" applyFont="1"/>
    <xf numFmtId="14" fontId="2" fillId="3" borderId="0" xfId="0" applyNumberFormat="1" applyFont="1" applyFill="1"/>
    <xf numFmtId="0" fontId="2" fillId="3" borderId="0" xfId="0" applyNumberFormat="1" applyFont="1" applyFill="1"/>
    <xf numFmtId="40" fontId="0" fillId="3" borderId="7" xfId="0" applyNumberFormat="1" applyFill="1" applyBorder="1"/>
    <xf numFmtId="40" fontId="0" fillId="3" borderId="8" xfId="0" applyNumberFormat="1" applyFill="1" applyBorder="1"/>
    <xf numFmtId="40" fontId="2" fillId="3" borderId="9" xfId="0" applyNumberFormat="1" applyFont="1" applyFill="1" applyBorder="1"/>
    <xf numFmtId="40" fontId="2" fillId="3" borderId="8" xfId="0" applyNumberFormat="1" applyFont="1" applyFill="1" applyBorder="1"/>
    <xf numFmtId="40" fontId="2" fillId="3" borderId="14" xfId="0" applyNumberFormat="1" applyFont="1" applyFill="1" applyBorder="1" applyAlignment="1">
      <alignment wrapText="1"/>
    </xf>
    <xf numFmtId="40" fontId="2" fillId="3" borderId="8" xfId="0" applyNumberFormat="1" applyFont="1" applyFill="1" applyBorder="1" applyAlignment="1">
      <alignment wrapText="1"/>
    </xf>
    <xf numFmtId="40" fontId="2" fillId="3" borderId="9" xfId="0" applyNumberFormat="1" applyFont="1" applyFill="1" applyBorder="1" applyAlignment="1">
      <alignment wrapText="1"/>
    </xf>
    <xf numFmtId="40" fontId="2" fillId="3" borderId="7" xfId="0" applyNumberFormat="1" applyFont="1" applyFill="1" applyBorder="1" applyAlignment="1">
      <alignment wrapText="1"/>
    </xf>
    <xf numFmtId="10" fontId="2" fillId="3" borderId="8" xfId="0" applyNumberFormat="1" applyFont="1" applyFill="1" applyBorder="1" applyAlignment="1">
      <alignment wrapText="1"/>
    </xf>
    <xf numFmtId="10" fontId="2" fillId="3" borderId="9" xfId="0" applyNumberFormat="1" applyFont="1" applyFill="1" applyBorder="1" applyAlignment="1">
      <alignment wrapText="1"/>
    </xf>
    <xf numFmtId="40" fontId="2" fillId="3" borderId="0" xfId="0" applyNumberFormat="1" applyFont="1" applyFill="1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0" fontId="3" fillId="0" borderId="0" xfId="0" applyNumberFormat="1" applyFont="1" applyAlignment="1">
      <alignment wrapText="1"/>
    </xf>
    <xf numFmtId="4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0" fontId="1" fillId="2" borderId="15" xfId="1" applyNumberFormat="1" applyBorder="1"/>
    <xf numFmtId="40" fontId="1" fillId="2" borderId="16" xfId="1" applyNumberFormat="1" applyBorder="1"/>
    <xf numFmtId="0" fontId="2" fillId="0" borderId="6" xfId="0" applyFont="1" applyBorder="1" applyAlignment="1">
      <alignment horizontal="center" vertical="center"/>
    </xf>
    <xf numFmtId="40" fontId="2" fillId="0" borderId="4" xfId="0" applyNumberFormat="1" applyFont="1" applyBorder="1" applyAlignment="1">
      <alignment wrapText="1"/>
    </xf>
    <xf numFmtId="0" fontId="0" fillId="0" borderId="6" xfId="0" applyBorder="1"/>
  </cellXfs>
  <cellStyles count="2">
    <cellStyle name="Calculation" xfId="1" builtinId="22"/>
    <cellStyle name="Normal" xfId="0" builtinId="0"/>
  </cellStyles>
  <dxfs count="3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PNC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Sheet1!$D$57:$D$76</c:f>
              <c:numCache>
                <c:formatCode>#,##0.00_);[Red]\(#,##0.00\)</c:formatCode>
                <c:ptCount val="20"/>
              </c:numCache>
            </c:numRef>
          </c:val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USAA Checking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Sheet1!$E$57:$E$76</c:f>
              <c:numCache>
                <c:formatCode>#,##0.00_);[Red]\(#,##0.00\)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1248</c:v>
                </c:pt>
                <c:pt idx="9">
                  <c:v>1702.99</c:v>
                </c:pt>
                <c:pt idx="10">
                  <c:v>2354</c:v>
                </c:pt>
                <c:pt idx="11">
                  <c:v>2936.01</c:v>
                </c:pt>
                <c:pt idx="12">
                  <c:v>1649.36</c:v>
                </c:pt>
                <c:pt idx="13">
                  <c:v>5033.6099999999997</c:v>
                </c:pt>
                <c:pt idx="14">
                  <c:v>5341.42</c:v>
                </c:pt>
                <c:pt idx="15">
                  <c:v>4107.0200000000004</c:v>
                </c:pt>
                <c:pt idx="16">
                  <c:v>7913.53</c:v>
                </c:pt>
              </c:numCache>
            </c:numRef>
          </c:val>
        </c:ser>
        <c:ser>
          <c:idx val="2"/>
          <c:order val="2"/>
          <c:tx>
            <c:strRef>
              <c:f>Sheet1!$F$56</c:f>
              <c:strCache>
                <c:ptCount val="1"/>
                <c:pt idx="0">
                  <c:v>Wells Fargo Checking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Sheet1!$F$57:$F$76</c:f>
              <c:numCache>
                <c:formatCode>#,##0.00_);[Red]\(#,##0.00\)</c:formatCode>
                <c:ptCount val="20"/>
                <c:pt idx="0">
                  <c:v>6042.8</c:v>
                </c:pt>
                <c:pt idx="1">
                  <c:v>6100.08</c:v>
                </c:pt>
                <c:pt idx="2">
                  <c:v>6048.59</c:v>
                </c:pt>
                <c:pt idx="3">
                  <c:v>4731.74</c:v>
                </c:pt>
                <c:pt idx="4">
                  <c:v>7546.29</c:v>
                </c:pt>
                <c:pt idx="5">
                  <c:v>11373.94</c:v>
                </c:pt>
                <c:pt idx="6">
                  <c:v>9489.76</c:v>
                </c:pt>
                <c:pt idx="7">
                  <c:v>9899.16</c:v>
                </c:pt>
                <c:pt idx="8">
                  <c:v>9634.6200000000008</c:v>
                </c:pt>
                <c:pt idx="9">
                  <c:v>7797.01</c:v>
                </c:pt>
                <c:pt idx="10">
                  <c:v>8011.98</c:v>
                </c:pt>
                <c:pt idx="11">
                  <c:v>7866.65</c:v>
                </c:pt>
                <c:pt idx="12">
                  <c:v>4787.99</c:v>
                </c:pt>
                <c:pt idx="13">
                  <c:v>4337.08</c:v>
                </c:pt>
                <c:pt idx="14">
                  <c:v>3579.88</c:v>
                </c:pt>
                <c:pt idx="15">
                  <c:v>3514.88</c:v>
                </c:pt>
                <c:pt idx="16">
                  <c:v>3678.34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</c:numCache>
            </c:numRef>
          </c:val>
        </c:ser>
        <c:ser>
          <c:idx val="3"/>
          <c:order val="3"/>
          <c:tx>
            <c:strRef>
              <c:f>Sheet1!$G$56</c:f>
              <c:strCache>
                <c:ptCount val="1"/>
                <c:pt idx="0">
                  <c:v>Ally 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Sheet1!$G$57:$G$76</c:f>
              <c:numCache>
                <c:formatCode>#,##0.00_);[Red]\(#,##0.00\)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4000.42</c:v>
                </c:pt>
                <c:pt idx="15">
                  <c:v>4004.23</c:v>
                </c:pt>
                <c:pt idx="16">
                  <c:v>9009.31</c:v>
                </c:pt>
              </c:numCache>
            </c:numRef>
          </c:val>
        </c:ser>
        <c:ser>
          <c:idx val="9"/>
          <c:order val="4"/>
          <c:tx>
            <c:strRef>
              <c:f>Sheet1!$H$56</c:f>
              <c:strCache>
                <c:ptCount val="1"/>
                <c:pt idx="0">
                  <c:v>Wells Fargo Savings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Sheet1!$H$57:$H$76</c:f>
              <c:numCache>
                <c:formatCode>#,##0.00_);[Red]\(#,##0.00\)</c:formatCode>
                <c:ptCount val="20"/>
                <c:pt idx="0">
                  <c:v>639.09</c:v>
                </c:pt>
                <c:pt idx="1">
                  <c:v>639.09666666666669</c:v>
                </c:pt>
                <c:pt idx="2">
                  <c:v>639.10333333333335</c:v>
                </c:pt>
                <c:pt idx="3">
                  <c:v>639.11</c:v>
                </c:pt>
                <c:pt idx="4">
                  <c:v>639.11333333333334</c:v>
                </c:pt>
                <c:pt idx="5">
                  <c:v>639.11666666666667</c:v>
                </c:pt>
                <c:pt idx="6">
                  <c:v>639.12</c:v>
                </c:pt>
                <c:pt idx="7">
                  <c:v>639.12666666666667</c:v>
                </c:pt>
                <c:pt idx="8">
                  <c:v>639.13333333333333</c:v>
                </c:pt>
                <c:pt idx="9">
                  <c:v>639.14</c:v>
                </c:pt>
                <c:pt idx="10">
                  <c:v>639.14333333333332</c:v>
                </c:pt>
                <c:pt idx="11">
                  <c:v>639.14666666666665</c:v>
                </c:pt>
                <c:pt idx="12">
                  <c:v>639.15</c:v>
                </c:pt>
                <c:pt idx="13">
                  <c:v>639.15666666666664</c:v>
                </c:pt>
                <c:pt idx="14">
                  <c:v>639.1633333333333</c:v>
                </c:pt>
                <c:pt idx="15">
                  <c:v>639.16999999999996</c:v>
                </c:pt>
                <c:pt idx="16">
                  <c:v>639.16999999999996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</c:numCache>
            </c:numRef>
          </c:val>
        </c:ser>
        <c:ser>
          <c:idx val="10"/>
          <c:order val="5"/>
          <c:tx>
            <c:strRef>
              <c:f>Sheet1!$I$56</c:f>
              <c:strCache>
                <c:ptCount val="1"/>
                <c:pt idx="0">
                  <c:v>Betterment Taxable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Sheet1!$I$57:$I$76</c:f>
              <c:numCache>
                <c:formatCode>#,##0.00_);[Red]\(#,##0.00\)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399.75</c:v>
                </c:pt>
                <c:pt idx="8">
                  <c:v>808.26</c:v>
                </c:pt>
                <c:pt idx="9">
                  <c:v>1003.84</c:v>
                </c:pt>
                <c:pt idx="10">
                  <c:v>1829.57</c:v>
                </c:pt>
                <c:pt idx="11">
                  <c:v>1835.52</c:v>
                </c:pt>
                <c:pt idx="12">
                  <c:v>2157.58</c:v>
                </c:pt>
                <c:pt idx="13">
                  <c:v>2684.96</c:v>
                </c:pt>
                <c:pt idx="14">
                  <c:v>2703.16</c:v>
                </c:pt>
                <c:pt idx="15">
                  <c:v>2943.3</c:v>
                </c:pt>
                <c:pt idx="16">
                  <c:v>3354.62</c:v>
                </c:pt>
                <c:pt idx="17">
                  <c:v>3498.84</c:v>
                </c:pt>
              </c:numCache>
            </c:numRef>
          </c:val>
        </c:ser>
        <c:ser>
          <c:idx val="11"/>
          <c:order val="6"/>
          <c:tx>
            <c:strRef>
              <c:f>Sheet1!$J$56</c:f>
              <c:strCache>
                <c:ptCount val="1"/>
                <c:pt idx="0">
                  <c:v>USAA IRA - Chris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Sheet1!$J$57:$J$76</c:f>
              <c:numCache>
                <c:formatCode>#,##0.00_);[Red]\(#,##0.00\)</c:formatCode>
                <c:ptCount val="20"/>
                <c:pt idx="0">
                  <c:v>2018.13</c:v>
                </c:pt>
                <c:pt idx="1">
                  <c:v>2015.6233333333334</c:v>
                </c:pt>
                <c:pt idx="2">
                  <c:v>2013.1166666666666</c:v>
                </c:pt>
                <c:pt idx="3">
                  <c:v>2010.61</c:v>
                </c:pt>
                <c:pt idx="4">
                  <c:v>2041.6699999999998</c:v>
                </c:pt>
                <c:pt idx="5">
                  <c:v>2072.73</c:v>
                </c:pt>
                <c:pt idx="6">
                  <c:v>2103.79</c:v>
                </c:pt>
                <c:pt idx="7">
                  <c:v>2124.5</c:v>
                </c:pt>
                <c:pt idx="8">
                  <c:v>2145.21</c:v>
                </c:pt>
                <c:pt idx="9">
                  <c:v>2165.92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2"/>
          <c:order val="7"/>
          <c:tx>
            <c:strRef>
              <c:f>Sheet1!$K$56</c:f>
              <c:strCache>
                <c:ptCount val="1"/>
                <c:pt idx="0">
                  <c:v>USAA Roth IRA - Chris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Sheet1!$K$57:$K$76</c:f>
              <c:numCache>
                <c:formatCode>#,##0.00_);[Red]\(#,##0.00\)</c:formatCode>
                <c:ptCount val="20"/>
                <c:pt idx="0">
                  <c:v>1895.32</c:v>
                </c:pt>
                <c:pt idx="1">
                  <c:v>1966.04</c:v>
                </c:pt>
                <c:pt idx="2">
                  <c:v>2036.76</c:v>
                </c:pt>
                <c:pt idx="3">
                  <c:v>2018.62</c:v>
                </c:pt>
                <c:pt idx="4">
                  <c:v>2079.105</c:v>
                </c:pt>
                <c:pt idx="5">
                  <c:v>2139.59</c:v>
                </c:pt>
                <c:pt idx="6">
                  <c:v>2121.92</c:v>
                </c:pt>
                <c:pt idx="7">
                  <c:v>2179.21</c:v>
                </c:pt>
                <c:pt idx="8">
                  <c:v>2236.5</c:v>
                </c:pt>
                <c:pt idx="9">
                  <c:v>2201.48</c:v>
                </c:pt>
                <c:pt idx="10">
                  <c:v>2215.4499999999998</c:v>
                </c:pt>
                <c:pt idx="11">
                  <c:v>2229.42</c:v>
                </c:pt>
                <c:pt idx="12">
                  <c:v>2258.31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3"/>
          <c:order val="8"/>
          <c:tx>
            <c:strRef>
              <c:f>Sheet1!$L$56</c:f>
              <c:strCache>
                <c:ptCount val="1"/>
                <c:pt idx="0">
                  <c:v>Vanguard IRA - Chris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Sheet1!$L$57:$L$76</c:f>
              <c:numCache>
                <c:formatCode>#,##0.00_);[Red]\(#,##0.00\)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2170.19</c:v>
                </c:pt>
                <c:pt idx="11">
                  <c:v>8280.17</c:v>
                </c:pt>
                <c:pt idx="12">
                  <c:v>8357.69</c:v>
                </c:pt>
                <c:pt idx="13">
                  <c:v>8504.2900000000009</c:v>
                </c:pt>
                <c:pt idx="14">
                  <c:v>8659.92</c:v>
                </c:pt>
                <c:pt idx="15">
                  <c:v>8739.07</c:v>
                </c:pt>
                <c:pt idx="16">
                  <c:v>9050.3700000000008</c:v>
                </c:pt>
                <c:pt idx="17">
                  <c:v>8827.0499999999993</c:v>
                </c:pt>
              </c:numCache>
            </c:numRef>
          </c:val>
        </c:ser>
        <c:ser>
          <c:idx val="4"/>
          <c:order val="9"/>
          <c:tx>
            <c:strRef>
              <c:f>Sheet1!$M$56</c:f>
              <c:strCache>
                <c:ptCount val="1"/>
                <c:pt idx="0">
                  <c:v>Vanguard Roth IRA - Chris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Sheet1!$M$57:$M$76</c:f>
              <c:numCache>
                <c:formatCode>#,##0.00_);[Red]\(#,##0.00\)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2232.13</c:v>
                </c:pt>
                <c:pt idx="15">
                  <c:v>2210.83</c:v>
                </c:pt>
                <c:pt idx="16">
                  <c:v>2377.15</c:v>
                </c:pt>
                <c:pt idx="17">
                  <c:v>5272.95</c:v>
                </c:pt>
              </c:numCache>
            </c:numRef>
          </c:val>
        </c:ser>
        <c:ser>
          <c:idx val="5"/>
          <c:order val="10"/>
          <c:tx>
            <c:strRef>
              <c:f>Sheet1!$N$56</c:f>
              <c:strCache>
                <c:ptCount val="1"/>
                <c:pt idx="0">
                  <c:v>Vanguard Roth IRA - Shannon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Sheet1!$N$57:$N$76</c:f>
              <c:numCache>
                <c:formatCode>#,##0.00_);[Red]\(#,##0.00\)</c:formatCode>
                <c:ptCount val="20"/>
              </c:numCache>
            </c:numRef>
          </c:val>
        </c:ser>
        <c:ser>
          <c:idx val="6"/>
          <c:order val="11"/>
          <c:tx>
            <c:strRef>
              <c:f>Sheet1!$O$56</c:f>
              <c:strCache>
                <c:ptCount val="1"/>
                <c:pt idx="0">
                  <c:v>JH 401(k)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Sheet1!$O$57:$O$76</c:f>
              <c:numCache>
                <c:formatCode>#,##0.00_);[Red]\(#,##0.00\)</c:formatCode>
                <c:ptCount val="20"/>
                <c:pt idx="0">
                  <c:v>16997.46</c:v>
                </c:pt>
                <c:pt idx="1">
                  <c:v>17328.406666666666</c:v>
                </c:pt>
                <c:pt idx="2">
                  <c:v>17659.353333333333</c:v>
                </c:pt>
                <c:pt idx="3">
                  <c:v>17990.3</c:v>
                </c:pt>
                <c:pt idx="4">
                  <c:v>18832.746666666666</c:v>
                </c:pt>
                <c:pt idx="5">
                  <c:v>19675.193333333333</c:v>
                </c:pt>
                <c:pt idx="6">
                  <c:v>20517.64</c:v>
                </c:pt>
                <c:pt idx="7">
                  <c:v>21560.616666666665</c:v>
                </c:pt>
                <c:pt idx="8">
                  <c:v>22603.593333333334</c:v>
                </c:pt>
                <c:pt idx="9">
                  <c:v>23646.57</c:v>
                </c:pt>
                <c:pt idx="10">
                  <c:v>25162.603333333333</c:v>
                </c:pt>
                <c:pt idx="11">
                  <c:v>26678.636666666665</c:v>
                </c:pt>
                <c:pt idx="12">
                  <c:v>28194.67</c:v>
                </c:pt>
                <c:pt idx="13">
                  <c:v>29673.863333333331</c:v>
                </c:pt>
                <c:pt idx="14">
                  <c:v>31153.056666666667</c:v>
                </c:pt>
                <c:pt idx="15">
                  <c:v>32632.25</c:v>
                </c:pt>
                <c:pt idx="16">
                  <c:v>35620</c:v>
                </c:pt>
                <c:pt idx="17">
                  <c:v>35470</c:v>
                </c:pt>
              </c:numCache>
            </c:numRef>
          </c:val>
        </c:ser>
        <c:ser>
          <c:idx val="7"/>
          <c:order val="12"/>
          <c:tx>
            <c:strRef>
              <c:f>Sheet1!$P$56</c:f>
              <c:strCache>
                <c:ptCount val="1"/>
                <c:pt idx="0">
                  <c:v>FBA HSA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Sheet1!$P$57:$P$76</c:f>
              <c:numCache>
                <c:formatCode>#,##0.00_);[Red]\(#,##0.00\)</c:formatCode>
                <c:ptCount val="20"/>
                <c:pt idx="0">
                  <c:v>2910.93</c:v>
                </c:pt>
                <c:pt idx="1">
                  <c:v>2910.93</c:v>
                </c:pt>
                <c:pt idx="2">
                  <c:v>2910.93</c:v>
                </c:pt>
                <c:pt idx="3">
                  <c:v>2910.93</c:v>
                </c:pt>
                <c:pt idx="4">
                  <c:v>3530.97</c:v>
                </c:pt>
                <c:pt idx="5">
                  <c:v>3651.02</c:v>
                </c:pt>
                <c:pt idx="6">
                  <c:v>3831.0899999999997</c:v>
                </c:pt>
                <c:pt idx="7">
                  <c:v>3031.09</c:v>
                </c:pt>
                <c:pt idx="8">
                  <c:v>3091.37</c:v>
                </c:pt>
                <c:pt idx="9">
                  <c:v>3091.65</c:v>
                </c:pt>
                <c:pt idx="10">
                  <c:v>3211.94</c:v>
                </c:pt>
                <c:pt idx="11">
                  <c:v>3192.23</c:v>
                </c:pt>
                <c:pt idx="12">
                  <c:v>3160.29</c:v>
                </c:pt>
                <c:pt idx="13">
                  <c:v>3160.29</c:v>
                </c:pt>
                <c:pt idx="14">
                  <c:v>3160.28</c:v>
                </c:pt>
                <c:pt idx="15">
                  <c:v>3160.3</c:v>
                </c:pt>
                <c:pt idx="16">
                  <c:v>3100.29</c:v>
                </c:pt>
                <c:pt idx="17">
                  <c:v>3100.27</c:v>
                </c:pt>
              </c:numCache>
            </c:numRef>
          </c:val>
        </c:ser>
        <c:ser>
          <c:idx val="8"/>
          <c:order val="13"/>
          <c:tx>
            <c:strRef>
              <c:f>Sheet1!$Q$56</c:f>
              <c:strCache>
                <c:ptCount val="1"/>
                <c:pt idx="0">
                  <c:v>HSA Invest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Sheet1!$Q$57:$Q$76</c:f>
              <c:numCache>
                <c:formatCode>#,##0.00_);[Red]\(#,##0.00\)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200.37</c:v>
                </c:pt>
                <c:pt idx="8">
                  <c:v>919.83</c:v>
                </c:pt>
                <c:pt idx="9">
                  <c:v>1055.6600000000001</c:v>
                </c:pt>
                <c:pt idx="10">
                  <c:v>1075.1099999999999</c:v>
                </c:pt>
                <c:pt idx="11">
                  <c:v>1260.42</c:v>
                </c:pt>
                <c:pt idx="12">
                  <c:v>1454.47</c:v>
                </c:pt>
                <c:pt idx="13">
                  <c:v>1600.61</c:v>
                </c:pt>
                <c:pt idx="14">
                  <c:v>1766.88</c:v>
                </c:pt>
                <c:pt idx="15">
                  <c:v>1924.72</c:v>
                </c:pt>
                <c:pt idx="16">
                  <c:v>2240.11</c:v>
                </c:pt>
                <c:pt idx="17">
                  <c:v>2350.27</c:v>
                </c:pt>
              </c:numCache>
            </c:numRef>
          </c:val>
        </c:ser>
        <c:ser>
          <c:idx val="14"/>
          <c:order val="14"/>
          <c:tx>
            <c:strRef>
              <c:f>Sheet1!$R$56</c:f>
              <c:strCache>
                <c:ptCount val="1"/>
                <c:pt idx="0">
                  <c:v>Edward Jones IRA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Sheet1!$R$57:$R$76</c:f>
              <c:numCache>
                <c:formatCode>#,##0.00_);[Red]\(#,##0.00\)</c:formatCode>
                <c:ptCount val="20"/>
                <c:pt idx="0">
                  <c:v>5506.8</c:v>
                </c:pt>
                <c:pt idx="1">
                  <c:v>5407.1</c:v>
                </c:pt>
                <c:pt idx="2">
                  <c:v>5446.52</c:v>
                </c:pt>
                <c:pt idx="3">
                  <c:v>5478.2</c:v>
                </c:pt>
                <c:pt idx="4">
                  <c:v>5651.06</c:v>
                </c:pt>
                <c:pt idx="5">
                  <c:v>5738.8</c:v>
                </c:pt>
                <c:pt idx="6">
                  <c:v>5790.94</c:v>
                </c:pt>
                <c:pt idx="7">
                  <c:v>5846.83</c:v>
                </c:pt>
                <c:pt idx="8">
                  <c:v>5955.21</c:v>
                </c:pt>
                <c:pt idx="9">
                  <c:v>5969.73</c:v>
                </c:pt>
                <c:pt idx="10">
                  <c:v>6097.6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Sheet1!$S$56</c:f>
              <c:strCache>
                <c:ptCount val="1"/>
                <c:pt idx="0">
                  <c:v>Edward Jones Taxable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Sheet1!$S$57:$S$76</c:f>
              <c:numCache>
                <c:formatCode>#,##0.00_);[Red]\(#,##0.00\)</c:formatCode>
                <c:ptCount val="20"/>
                <c:pt idx="0">
                  <c:v>23326.94</c:v>
                </c:pt>
                <c:pt idx="1">
                  <c:v>23086.12</c:v>
                </c:pt>
                <c:pt idx="2">
                  <c:v>24238.59</c:v>
                </c:pt>
                <c:pt idx="3">
                  <c:v>24640.1</c:v>
                </c:pt>
                <c:pt idx="4">
                  <c:v>25187.599999999999</c:v>
                </c:pt>
                <c:pt idx="5">
                  <c:v>25819.34</c:v>
                </c:pt>
                <c:pt idx="6">
                  <c:v>25706.9</c:v>
                </c:pt>
                <c:pt idx="7">
                  <c:v>25924.48</c:v>
                </c:pt>
                <c:pt idx="8">
                  <c:v>26317.33</c:v>
                </c:pt>
                <c:pt idx="9">
                  <c:v>26346.9</c:v>
                </c:pt>
                <c:pt idx="10">
                  <c:v>26919.06</c:v>
                </c:pt>
                <c:pt idx="11">
                  <c:v>26825.77</c:v>
                </c:pt>
                <c:pt idx="12">
                  <c:v>27819.32</c:v>
                </c:pt>
                <c:pt idx="13">
                  <c:v>28419.01</c:v>
                </c:pt>
                <c:pt idx="14">
                  <c:v>28456.49</c:v>
                </c:pt>
                <c:pt idx="15">
                  <c:v>29614.46</c:v>
                </c:pt>
                <c:pt idx="16">
                  <c:v>31644.82</c:v>
                </c:pt>
                <c:pt idx="17">
                  <c:v>30289.09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47728"/>
        <c:axId val="598747336"/>
      </c:areaChart>
      <c:dateAx>
        <c:axId val="598747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7336"/>
        <c:crosses val="autoZero"/>
        <c:auto val="1"/>
        <c:lblOffset val="100"/>
        <c:baseTimeUnit val="months"/>
      </c:dateAx>
      <c:valAx>
        <c:axId val="5987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Sheet1!$U$56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Sheet1!$U$57:$U$76</c:f>
              <c:numCache>
                <c:formatCode>#,##0.00_);[Red]\(#,##0.00\)</c:formatCode>
                <c:ptCount val="20"/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Sheet1!$V$56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Sheet1!$V$57:$V$76</c:f>
              <c:numCache>
                <c:formatCode>#,##0.00_);[Red]\(#,##0.00\)</c:formatCode>
                <c:ptCount val="20"/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</c:numCache>
            </c:numRef>
          </c:val>
        </c:ser>
        <c:ser>
          <c:idx val="2"/>
          <c:order val="2"/>
          <c:tx>
            <c:strRef>
              <c:f>Sheet1!$W$56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Sheet1!$W$57:$W$76</c:f>
              <c:numCache>
                <c:formatCode>#,##0.00_);[Red]\(#,##0.00\)</c:formatCode>
                <c:ptCount val="20"/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</c:numCache>
            </c:numRef>
          </c:val>
        </c:ser>
        <c:ser>
          <c:idx val="3"/>
          <c:order val="3"/>
          <c:tx>
            <c:strRef>
              <c:f>Sheet1!$X$56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Sheet1!$X$57:$X$76</c:f>
              <c:numCache>
                <c:formatCode>#,##0.00_);[Red]\(#,##0.00\)</c:formatCode>
                <c:ptCount val="2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</c:numCache>
            </c:numRef>
          </c:val>
        </c:ser>
        <c:ser>
          <c:idx val="4"/>
          <c:order val="4"/>
          <c:tx>
            <c:strRef>
              <c:f>Sheet1!$Y$56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Sheet1!$Y$57:$Y$76</c:f>
              <c:numCache>
                <c:formatCode>#,##0.00_);[Red]\(#,##0.00\)</c:formatCode>
                <c:ptCount val="2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Sheet1!$Z$56</c:f>
              <c:strCache>
                <c:ptCount val="1"/>
                <c:pt idx="0">
                  <c:v>Navient Loan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Sheet1!$Z$57:$Z$76</c:f>
              <c:numCache>
                <c:formatCode>#,##0.00_);[Red]\(#,##0.00\)</c:formatCode>
                <c:ptCount val="20"/>
                <c:pt idx="6">
                  <c:v>44944</c:v>
                </c:pt>
                <c:pt idx="7">
                  <c:v>44945</c:v>
                </c:pt>
                <c:pt idx="8">
                  <c:v>44945</c:v>
                </c:pt>
                <c:pt idx="9">
                  <c:v>44945</c:v>
                </c:pt>
                <c:pt idx="10">
                  <c:v>44945</c:v>
                </c:pt>
                <c:pt idx="11">
                  <c:v>44945</c:v>
                </c:pt>
                <c:pt idx="12">
                  <c:v>44945</c:v>
                </c:pt>
                <c:pt idx="13">
                  <c:v>44945</c:v>
                </c:pt>
                <c:pt idx="14">
                  <c:v>44945</c:v>
                </c:pt>
                <c:pt idx="15">
                  <c:v>44945</c:v>
                </c:pt>
                <c:pt idx="16">
                  <c:v>44945</c:v>
                </c:pt>
                <c:pt idx="17">
                  <c:v>44946</c:v>
                </c:pt>
              </c:numCache>
            </c:numRef>
          </c:val>
        </c:ser>
        <c:ser>
          <c:idx val="6"/>
          <c:order val="6"/>
          <c:tx>
            <c:strRef>
              <c:f>Sheet1!$AA$56</c:f>
              <c:strCache>
                <c:ptCount val="1"/>
                <c:pt idx="0">
                  <c:v>Navient Loan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Sheet1!$AA$57:$AA$76</c:f>
              <c:numCache>
                <c:formatCode>#,##0.00_);[Red]\(#,##0.00\)</c:formatCode>
                <c:ptCount val="2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18000</c:v>
                </c:pt>
                <c:pt idx="11">
                  <c:v>16921.5</c:v>
                </c:pt>
                <c:pt idx="12">
                  <c:v>16921.5</c:v>
                </c:pt>
                <c:pt idx="13">
                  <c:v>16921.5</c:v>
                </c:pt>
                <c:pt idx="14">
                  <c:v>16921.5</c:v>
                </c:pt>
                <c:pt idx="15">
                  <c:v>16921.5</c:v>
                </c:pt>
                <c:pt idx="16">
                  <c:v>16921.5</c:v>
                </c:pt>
                <c:pt idx="17">
                  <c:v>15843</c:v>
                </c:pt>
              </c:numCache>
            </c:numRef>
          </c:val>
        </c:ser>
        <c:ser>
          <c:idx val="7"/>
          <c:order val="7"/>
          <c:tx>
            <c:strRef>
              <c:f>Sheet1!$AB$56</c:f>
              <c:strCache>
                <c:ptCount val="1"/>
                <c:pt idx="0">
                  <c:v>Navient Loan 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Sheet1!$AB$57:$AB$76</c:f>
              <c:numCache>
                <c:formatCode>#,##0.00_);[Red]\(#,##0.00\)</c:formatCode>
                <c:ptCount val="2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Sheet1!$AC$56</c:f>
              <c:strCache>
                <c:ptCount val="1"/>
                <c:pt idx="0">
                  <c:v>Navient Loan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Sheet1!$A$57:$A$76</c:f>
              <c:numCache>
                <c:formatCode>m/d/yyyy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</c:numCache>
            </c:numRef>
          </c:cat>
          <c:val>
            <c:numRef>
              <c:f>Sheet1!$AC$57:$AC$76</c:f>
              <c:numCache>
                <c:formatCode>#,##0.00_);[Red]\(#,##0.00\)</c:formatCode>
                <c:ptCount val="2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41456"/>
        <c:axId val="598739496"/>
      </c:areaChart>
      <c:dateAx>
        <c:axId val="59874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39496"/>
        <c:crosses val="autoZero"/>
        <c:auto val="1"/>
        <c:lblOffset val="100"/>
        <c:baseTimeUnit val="months"/>
      </c:dateAx>
      <c:valAx>
        <c:axId val="5987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Sheet1!$AE$55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Sheet1!$A$61:$A$76</c:f>
              <c:numCache>
                <c:formatCode>m/d/yyyy</c:formatCode>
                <c:ptCount val="16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</c:numCache>
            </c:numRef>
          </c:cat>
          <c:val>
            <c:numRef>
              <c:f>Sheet1!$AE$61:$AE$77</c:f>
              <c:numCache>
                <c:formatCode>#,##0.00_);[Red]\(#,##0.00\)</c:formatCode>
                <c:ptCount val="17"/>
                <c:pt idx="0">
                  <c:v>65508.554999999993</c:v>
                </c:pt>
                <c:pt idx="1">
                  <c:v>71109.73</c:v>
                </c:pt>
                <c:pt idx="2">
                  <c:v>23325.070000000007</c:v>
                </c:pt>
                <c:pt idx="3">
                  <c:v>25974.023333333331</c:v>
                </c:pt>
                <c:pt idx="4">
                  <c:v>28665.08666666667</c:v>
                </c:pt>
                <c:pt idx="5">
                  <c:v>26858.080000000016</c:v>
                </c:pt>
                <c:pt idx="6">
                  <c:v>12198.956666666665</c:v>
                </c:pt>
                <c:pt idx="7">
                  <c:v>15010.213333333319</c:v>
                </c:pt>
                <c:pt idx="8">
                  <c:v>13806.150000000009</c:v>
                </c:pt>
                <c:pt idx="9">
                  <c:v>17529.160000000003</c:v>
                </c:pt>
                <c:pt idx="10">
                  <c:v>25382.190000000002</c:v>
                </c:pt>
                <c:pt idx="11">
                  <c:v>28208.810000000012</c:v>
                </c:pt>
                <c:pt idx="12">
                  <c:v>42629.439999999988</c:v>
                </c:pt>
                <c:pt idx="13">
                  <c:v>25447.079999999987</c:v>
                </c:pt>
                <c:pt idx="14">
                  <c:v>855</c:v>
                </c:pt>
                <c:pt idx="15">
                  <c:v>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Sheet1!$T$56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Sheet1!$A$61:$A$76</c:f>
              <c:numCache>
                <c:formatCode>m/d/yyyy</c:formatCode>
                <c:ptCount val="16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</c:numCache>
            </c:numRef>
          </c:cat>
          <c:val>
            <c:numRef>
              <c:f>Sheet1!$T$61:$T$76</c:f>
              <c:numCache>
                <c:formatCode>#,##0.00_);[Red]\(#,##0.00\)</c:formatCode>
                <c:ptCount val="16"/>
                <c:pt idx="0">
                  <c:v>65508.554999999993</c:v>
                </c:pt>
                <c:pt idx="1">
                  <c:v>71109.73</c:v>
                </c:pt>
                <c:pt idx="2">
                  <c:v>70201.16</c:v>
                </c:pt>
                <c:pt idx="3">
                  <c:v>71905.133333333331</c:v>
                </c:pt>
                <c:pt idx="4">
                  <c:v>75599.056666666671</c:v>
                </c:pt>
                <c:pt idx="5">
                  <c:v>75620.890000000014</c:v>
                </c:pt>
                <c:pt idx="6">
                  <c:v>79686.646666666667</c:v>
                </c:pt>
                <c:pt idx="7">
                  <c:v>81743.973333333328</c:v>
                </c:pt>
                <c:pt idx="8">
                  <c:v>80478.83</c:v>
                </c:pt>
                <c:pt idx="9">
                  <c:v>85052.87</c:v>
                </c:pt>
                <c:pt idx="10">
                  <c:v>91692.800000000003</c:v>
                </c:pt>
                <c:pt idx="11">
                  <c:v>93490.23000000001</c:v>
                </c:pt>
                <c:pt idx="12">
                  <c:v>108627.70999999999</c:v>
                </c:pt>
                <c:pt idx="13">
                  <c:v>89663.469999999987</c:v>
                </c:pt>
                <c:pt idx="14">
                  <c:v>855</c:v>
                </c:pt>
                <c:pt idx="15">
                  <c:v>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Sheet1!$AD$56</c:f>
              <c:strCache>
                <c:ptCount val="1"/>
                <c:pt idx="0">
                  <c:v>TOTAL DEBTS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Sheet1!$A$61:$A$76</c:f>
              <c:numCache>
                <c:formatCode>m/d/yyyy</c:formatCode>
                <c:ptCount val="16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</c:numCache>
            </c:numRef>
          </c:cat>
          <c:val>
            <c:numRef>
              <c:f>Sheet1!$AD$61:$AD$76</c:f>
              <c:numCache>
                <c:formatCode>#,##0.00_);[Red]\(#,##0.00\)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-46876.09</c:v>
                </c:pt>
                <c:pt idx="3">
                  <c:v>-45931.11</c:v>
                </c:pt>
                <c:pt idx="4">
                  <c:v>-46933.97</c:v>
                </c:pt>
                <c:pt idx="5">
                  <c:v>-48762.81</c:v>
                </c:pt>
                <c:pt idx="6">
                  <c:v>-67487.69</c:v>
                </c:pt>
                <c:pt idx="7">
                  <c:v>-66733.760000000009</c:v>
                </c:pt>
                <c:pt idx="8">
                  <c:v>-66672.679999999993</c:v>
                </c:pt>
                <c:pt idx="9">
                  <c:v>-67523.709999999992</c:v>
                </c:pt>
                <c:pt idx="10">
                  <c:v>-66310.61</c:v>
                </c:pt>
                <c:pt idx="11">
                  <c:v>-65281.42</c:v>
                </c:pt>
                <c:pt idx="12">
                  <c:v>-65998.27</c:v>
                </c:pt>
                <c:pt idx="13">
                  <c:v>-64216.39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6160"/>
        <c:axId val="598743416"/>
      </c:lineChart>
      <c:dateAx>
        <c:axId val="598746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3416"/>
        <c:crosses val="autoZero"/>
        <c:auto val="1"/>
        <c:lblOffset val="100"/>
        <c:baseTimeUnit val="months"/>
      </c:dateAx>
      <c:valAx>
        <c:axId val="5987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Sheet1!$AI$56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Sheet1!$A$61:$A$76</c:f>
              <c:numCache>
                <c:formatCode>m/d/yyyy</c:formatCode>
                <c:ptCount val="16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</c:numCache>
            </c:numRef>
          </c:cat>
          <c:val>
            <c:numRef>
              <c:f>Sheet1!$AI$61:$AI$76</c:f>
              <c:numCache>
                <c:formatCode>#,##0.00_);[Red]\(#,##0.00\)</c:formatCode>
                <c:ptCount val="16"/>
                <c:pt idx="0">
                  <c:v>750</c:v>
                </c:pt>
                <c:pt idx="1">
                  <c:v>750</c:v>
                </c:pt>
                <c:pt idx="2">
                  <c:v>2682.09</c:v>
                </c:pt>
                <c:pt idx="3">
                  <c:v>1736.1100000000001</c:v>
                </c:pt>
                <c:pt idx="4">
                  <c:v>2738.9700000000003</c:v>
                </c:pt>
                <c:pt idx="5">
                  <c:v>4567.8099999999995</c:v>
                </c:pt>
                <c:pt idx="6">
                  <c:v>5292.6900000000005</c:v>
                </c:pt>
                <c:pt idx="7">
                  <c:v>5617.26</c:v>
                </c:pt>
                <c:pt idx="8">
                  <c:v>5556.1799999999994</c:v>
                </c:pt>
                <c:pt idx="9">
                  <c:v>6407.21</c:v>
                </c:pt>
                <c:pt idx="10">
                  <c:v>5194.1099999999997</c:v>
                </c:pt>
                <c:pt idx="11">
                  <c:v>4164.92</c:v>
                </c:pt>
                <c:pt idx="12">
                  <c:v>4881.7700000000004</c:v>
                </c:pt>
                <c:pt idx="13">
                  <c:v>4177.3899999999994</c:v>
                </c:pt>
                <c:pt idx="14">
                  <c:v>750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023184"/>
        <c:axId val="324024360"/>
      </c:barChart>
      <c:dateAx>
        <c:axId val="324023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4360"/>
        <c:crosses val="autoZero"/>
        <c:auto val="1"/>
        <c:lblOffset val="100"/>
        <c:baseTimeUnit val="months"/>
      </c:dateAx>
      <c:valAx>
        <c:axId val="3240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Portfolio and Target for FI (might be hidden)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Sheet1!$AU$56</c:f>
              <c:strCache>
                <c:ptCount val="1"/>
                <c:pt idx="0">
                  <c:v>Current Portfolio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9806290023846764E-2"/>
                  <c:y val="-2.287556538657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Sheet1!$A$61:$A$76</c:f>
              <c:numCache>
                <c:formatCode>m/d/yyyy</c:formatCode>
                <c:ptCount val="16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</c:numCache>
            </c:numRef>
          </c:cat>
          <c:val>
            <c:numRef>
              <c:f>Sheet1!$AU$61:$AU$76</c:f>
              <c:numCache>
                <c:formatCode>#,##0.00_);[Red]\(#,##0.00\)</c:formatCode>
                <c:ptCount val="16"/>
                <c:pt idx="0">
                  <c:v>53792.181666666671</c:v>
                </c:pt>
                <c:pt idx="1">
                  <c:v>55445.653333333335</c:v>
                </c:pt>
                <c:pt idx="2">
                  <c:v>56241.19</c:v>
                </c:pt>
                <c:pt idx="3">
                  <c:v>57836.006666666668</c:v>
                </c:pt>
                <c:pt idx="4">
                  <c:v>60177.67333333334</c:v>
                </c:pt>
                <c:pt idx="5">
                  <c:v>61386.26</c:v>
                </c:pt>
                <c:pt idx="6">
                  <c:v>63640.013333333336</c:v>
                </c:pt>
                <c:pt idx="7">
                  <c:v>65274.416666666672</c:v>
                </c:pt>
                <c:pt idx="8">
                  <c:v>68084.459999999992</c:v>
                </c:pt>
                <c:pt idx="9">
                  <c:v>68197.773333333331</c:v>
                </c:pt>
                <c:pt idx="10">
                  <c:v>72268.476666666669</c:v>
                </c:pt>
                <c:pt idx="11">
                  <c:v>75121.33</c:v>
                </c:pt>
                <c:pt idx="12">
                  <c:v>80932.450000000012</c:v>
                </c:pt>
                <c:pt idx="13">
                  <c:v>82209.36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Sheet1!$AT$56</c:f>
              <c:strCache>
                <c:ptCount val="1"/>
                <c:pt idx="0">
                  <c:v>Target Series (based on 3 month running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Sheet1!$A$61:$A$76</c:f>
              <c:numCache>
                <c:formatCode>m/d/yyyy</c:formatCode>
                <c:ptCount val="16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</c:numCache>
            </c:numRef>
          </c:cat>
          <c:val>
            <c:numRef>
              <c:f>Sheet1!$AT$61:$AT$76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03936"/>
        <c:axId val="489405112"/>
      </c:lineChart>
      <c:dateAx>
        <c:axId val="489403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5112"/>
        <c:crosses val="autoZero"/>
        <c:auto val="1"/>
        <c:lblOffset val="100"/>
        <c:baseTimeUnit val="months"/>
      </c:dateAx>
      <c:valAx>
        <c:axId val="4894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52666</xdr:colOff>
      <xdr:row>32</xdr:row>
      <xdr:rowOff>19331</xdr:rowOff>
    </xdr:from>
    <xdr:to>
      <xdr:col>16</xdr:col>
      <xdr:colOff>78439</xdr:colOff>
      <xdr:row>52</xdr:row>
      <xdr:rowOff>186019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369792</xdr:colOff>
      <xdr:row>32</xdr:row>
      <xdr:rowOff>44823</xdr:rowOff>
    </xdr:from>
    <xdr:to>
      <xdr:col>30</xdr:col>
      <xdr:colOff>22411</xdr:colOff>
      <xdr:row>52</xdr:row>
      <xdr:rowOff>144556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56029</xdr:colOff>
      <xdr:row>0</xdr:row>
      <xdr:rowOff>11206</xdr:rowOff>
    </xdr:from>
    <xdr:to>
      <xdr:col>29</xdr:col>
      <xdr:colOff>638736</xdr:colOff>
      <xdr:row>30</xdr:row>
      <xdr:rowOff>32497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32</xdr:row>
      <xdr:rowOff>45943</xdr:rowOff>
    </xdr:from>
    <xdr:to>
      <xdr:col>40</xdr:col>
      <xdr:colOff>605117</xdr:colOff>
      <xdr:row>52</xdr:row>
      <xdr:rowOff>100852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308161</xdr:colOff>
      <xdr:row>0</xdr:row>
      <xdr:rowOff>78441</xdr:rowOff>
    </xdr:from>
    <xdr:to>
      <xdr:col>53</xdr:col>
      <xdr:colOff>459441</xdr:colOff>
      <xdr:row>31</xdr:row>
      <xdr:rowOff>43703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9:BN104"/>
  <sheetViews>
    <sheetView tabSelected="1" topLeftCell="A38" zoomScale="85" zoomScaleNormal="85" workbookViewId="0">
      <pane xSplit="1" topLeftCell="D1" activePane="topRight" state="frozen"/>
      <selection activeCell="A4" sqref="A4"/>
      <selection pane="topRight" activeCell="R74" sqref="R74"/>
    </sheetView>
  </sheetViews>
  <sheetFormatPr defaultRowHeight="15" x14ac:dyDescent="0.25"/>
  <cols>
    <col min="1" max="1" width="10.28515625" style="3" customWidth="1"/>
    <col min="2" max="3" width="10.28515625" style="3" hidden="1" customWidth="1"/>
    <col min="4" max="4" width="10.5703125" bestFit="1" customWidth="1"/>
    <col min="6" max="6" width="11.7109375" customWidth="1"/>
    <col min="8" max="8" width="9.85546875" bestFit="1" customWidth="1"/>
    <col min="9" max="9" width="11.85546875" customWidth="1"/>
    <col min="10" max="10" width="9.85546875" customWidth="1"/>
    <col min="11" max="11" width="10.85546875" customWidth="1"/>
    <col min="12" max="12" width="9.7109375" customWidth="1"/>
    <col min="13" max="13" width="14" customWidth="1"/>
    <col min="14" max="14" width="10.140625" customWidth="1"/>
    <col min="15" max="15" width="9.85546875" bestFit="1" customWidth="1"/>
    <col min="18" max="18" width="10.5703125" bestFit="1" customWidth="1"/>
    <col min="19" max="19" width="9.7109375" customWidth="1"/>
    <col min="20" max="20" width="10.85546875" style="3" bestFit="1" customWidth="1"/>
    <col min="25" max="27" width="9.85546875" bestFit="1" customWidth="1"/>
    <col min="30" max="30" width="10.5703125" bestFit="1" customWidth="1"/>
    <col min="31" max="31" width="10.42578125" bestFit="1" customWidth="1"/>
    <col min="36" max="36" width="9.7109375" bestFit="1" customWidth="1"/>
    <col min="38" max="39" width="9.7109375" bestFit="1" customWidth="1"/>
    <col min="40" max="40" width="9.7109375" customWidth="1"/>
    <col min="41" max="41" width="9.7109375" bestFit="1" customWidth="1"/>
    <col min="42" max="42" width="11.85546875" customWidth="1"/>
    <col min="43" max="44" width="12.28515625" customWidth="1"/>
    <col min="45" max="45" width="12.42578125" hidden="1" customWidth="1"/>
    <col min="46" max="46" width="12.28515625" hidden="1" customWidth="1"/>
    <col min="47" max="47" width="9.7109375" bestFit="1" customWidth="1"/>
    <col min="51" max="51" width="10.85546875" bestFit="1" customWidth="1"/>
    <col min="55" max="55" width="12.28515625" bestFit="1" customWidth="1"/>
  </cols>
  <sheetData>
    <row r="39" spans="46:58" x14ac:dyDescent="0.25">
      <c r="AX39" s="1">
        <v>43165</v>
      </c>
      <c r="AY39" s="1">
        <f>DATE(YEAR(AX39) + 1, MONTH(AX39),DAY(AX39))</f>
        <v>43530</v>
      </c>
      <c r="AZ39" s="1"/>
      <c r="BA39" s="1"/>
      <c r="BB39" s="1"/>
      <c r="BC39" s="1"/>
      <c r="BD39" s="1"/>
      <c r="BE39" s="1"/>
      <c r="BF39" s="1"/>
    </row>
    <row r="40" spans="46:58" x14ac:dyDescent="0.25">
      <c r="AT40" t="s">
        <v>53</v>
      </c>
      <c r="AX40" s="1">
        <v>43166</v>
      </c>
      <c r="AY40" s="54"/>
    </row>
    <row r="41" spans="46:58" x14ac:dyDescent="0.25">
      <c r="AT41" s="53">
        <v>3.9999999999999998E-6</v>
      </c>
      <c r="AU41" t="s">
        <v>54</v>
      </c>
      <c r="AX41" s="1">
        <v>43167</v>
      </c>
      <c r="AY41" s="54"/>
    </row>
    <row r="42" spans="46:58" x14ac:dyDescent="0.25">
      <c r="AT42">
        <v>-0.76490000000000002</v>
      </c>
      <c r="AU42" t="s">
        <v>55</v>
      </c>
    </row>
    <row r="43" spans="46:58" x14ac:dyDescent="0.25">
      <c r="AT43">
        <v>49391</v>
      </c>
      <c r="AU43" t="s">
        <v>56</v>
      </c>
    </row>
    <row r="44" spans="46:58" x14ac:dyDescent="0.25">
      <c r="AT44" s="53">
        <v>1000000000</v>
      </c>
      <c r="AU44" t="s">
        <v>57</v>
      </c>
    </row>
    <row r="45" spans="46:58" x14ac:dyDescent="0.25">
      <c r="AT45" s="53">
        <v>20000000000000</v>
      </c>
    </row>
    <row r="47" spans="46:58" x14ac:dyDescent="0.25">
      <c r="AT47" t="s">
        <v>58</v>
      </c>
      <c r="AU47" s="53">
        <f>AT41*AU48^4 + AT42*AU48^3 + AT43*AU48^2 + AT44*AU48 + AT45</f>
        <v>107559803036672.89</v>
      </c>
    </row>
    <row r="48" spans="46:58" x14ac:dyDescent="0.25">
      <c r="AT48" t="s">
        <v>59</v>
      </c>
      <c r="AU48" s="1">
        <v>43165</v>
      </c>
    </row>
    <row r="54" spans="1:66" ht="15.75" thickBot="1" x14ac:dyDescent="0.3">
      <c r="AO54" t="s">
        <v>40</v>
      </c>
      <c r="AP54" s="31">
        <v>0.04</v>
      </c>
      <c r="AQ54" s="31"/>
      <c r="AR54" s="31" t="s">
        <v>51</v>
      </c>
      <c r="AS54" s="2">
        <f>SUM(AS61:AS76)</f>
        <v>1379546.2777777778</v>
      </c>
      <c r="AT54" s="31"/>
    </row>
    <row r="55" spans="1:66" ht="15.75" thickBot="1" x14ac:dyDescent="0.3">
      <c r="D55" s="19" t="s">
        <v>60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19" t="s">
        <v>26</v>
      </c>
      <c r="V55" s="22"/>
      <c r="W55" s="22"/>
      <c r="X55" s="22"/>
      <c r="Y55" s="22"/>
      <c r="Z55" s="22"/>
      <c r="AA55" s="22"/>
      <c r="AB55" s="22"/>
      <c r="AC55" s="22"/>
      <c r="AD55" s="23"/>
      <c r="AE55" s="24" t="s">
        <v>25</v>
      </c>
      <c r="AF55" s="19" t="s">
        <v>27</v>
      </c>
      <c r="AG55" s="22"/>
      <c r="AH55" s="22"/>
      <c r="AI55" s="22"/>
      <c r="AJ55" s="22"/>
      <c r="AK55" s="22"/>
      <c r="AL55" s="22"/>
      <c r="AM55" s="22"/>
      <c r="AN55" s="22"/>
      <c r="AO55" s="23"/>
      <c r="AP55" s="19" t="s">
        <v>37</v>
      </c>
      <c r="AQ55" s="22"/>
      <c r="AR55" s="22"/>
      <c r="AS55" s="22"/>
      <c r="AT55" s="22"/>
      <c r="AU55" s="22"/>
      <c r="AV55" s="22"/>
      <c r="AW55" s="22"/>
      <c r="AX55" s="22"/>
      <c r="AY55" s="23"/>
      <c r="AZ55" s="3" t="s">
        <v>47</v>
      </c>
    </row>
    <row r="56" spans="1:66" s="5" customFormat="1" ht="90.75" thickBot="1" x14ac:dyDescent="0.3">
      <c r="D56" s="8" t="s">
        <v>0</v>
      </c>
      <c r="E56" s="9" t="s">
        <v>1</v>
      </c>
      <c r="F56" s="9" t="s">
        <v>3</v>
      </c>
      <c r="G56" s="9" t="s">
        <v>2</v>
      </c>
      <c r="H56" s="9" t="s">
        <v>4</v>
      </c>
      <c r="I56" s="9" t="s">
        <v>12</v>
      </c>
      <c r="J56" s="9" t="s">
        <v>14</v>
      </c>
      <c r="K56" s="9" t="s">
        <v>13</v>
      </c>
      <c r="L56" s="10" t="s">
        <v>5</v>
      </c>
      <c r="M56" s="10" t="s">
        <v>6</v>
      </c>
      <c r="N56" s="10" t="s">
        <v>7</v>
      </c>
      <c r="O56" s="10" t="s">
        <v>8</v>
      </c>
      <c r="P56" s="10" t="s">
        <v>9</v>
      </c>
      <c r="Q56" s="10" t="s">
        <v>20</v>
      </c>
      <c r="R56" s="10" t="s">
        <v>10</v>
      </c>
      <c r="S56" s="10" t="s">
        <v>11</v>
      </c>
      <c r="T56" s="11" t="s">
        <v>61</v>
      </c>
      <c r="U56" s="8" t="s">
        <v>15</v>
      </c>
      <c r="V56" s="9" t="s">
        <v>16</v>
      </c>
      <c r="W56" s="9" t="s">
        <v>17</v>
      </c>
      <c r="X56" s="9" t="s">
        <v>18</v>
      </c>
      <c r="Y56" s="9" t="s">
        <v>28</v>
      </c>
      <c r="Z56" s="10" t="s">
        <v>21</v>
      </c>
      <c r="AA56" s="9" t="s">
        <v>22</v>
      </c>
      <c r="AB56" s="9" t="s">
        <v>23</v>
      </c>
      <c r="AC56" s="9" t="s">
        <v>24</v>
      </c>
      <c r="AD56" s="11" t="s">
        <v>62</v>
      </c>
      <c r="AE56" s="61"/>
      <c r="AF56" s="26" t="s">
        <v>46</v>
      </c>
      <c r="AG56" s="10" t="s">
        <v>30</v>
      </c>
      <c r="AH56" s="10" t="s">
        <v>29</v>
      </c>
      <c r="AI56" s="10" t="s">
        <v>31</v>
      </c>
      <c r="AJ56" s="10" t="s">
        <v>32</v>
      </c>
      <c r="AK56" s="10" t="s">
        <v>33</v>
      </c>
      <c r="AL56" s="10" t="s">
        <v>36</v>
      </c>
      <c r="AM56" s="10" t="s">
        <v>34</v>
      </c>
      <c r="AN56" s="10" t="s">
        <v>35</v>
      </c>
      <c r="AO56" s="11" t="s">
        <v>38</v>
      </c>
      <c r="AP56" s="26" t="s">
        <v>39</v>
      </c>
      <c r="AQ56" s="10" t="s">
        <v>48</v>
      </c>
      <c r="AR56" s="10" t="s">
        <v>49</v>
      </c>
      <c r="AS56" s="10" t="s">
        <v>52</v>
      </c>
      <c r="AT56" s="10" t="s">
        <v>50</v>
      </c>
      <c r="AU56" s="10" t="s">
        <v>41</v>
      </c>
      <c r="AV56" s="10" t="s">
        <v>42</v>
      </c>
      <c r="AW56" s="10" t="s">
        <v>43</v>
      </c>
      <c r="AX56" s="10" t="s">
        <v>44</v>
      </c>
      <c r="AY56" s="11" t="s">
        <v>45</v>
      </c>
    </row>
    <row r="57" spans="1:66" ht="15.75" thickBot="1" x14ac:dyDescent="0.3">
      <c r="A57" s="4">
        <v>42644</v>
      </c>
      <c r="D57" s="12"/>
      <c r="E57" s="13">
        <v>0</v>
      </c>
      <c r="F57" s="13">
        <v>6042.8</v>
      </c>
      <c r="G57" s="13">
        <v>0</v>
      </c>
      <c r="H57" s="13">
        <v>639.09</v>
      </c>
      <c r="I57" s="13">
        <v>0</v>
      </c>
      <c r="J57" s="13">
        <v>2018.13</v>
      </c>
      <c r="K57" s="13">
        <v>1895.32</v>
      </c>
      <c r="L57" s="13">
        <v>0</v>
      </c>
      <c r="M57" s="13">
        <v>0</v>
      </c>
      <c r="N57" s="13"/>
      <c r="O57" s="13">
        <v>16997.46</v>
      </c>
      <c r="P57" s="13">
        <f>2910.93 + 0</f>
        <v>2910.93</v>
      </c>
      <c r="Q57" s="13">
        <v>0</v>
      </c>
      <c r="R57" s="13">
        <v>5506.8</v>
      </c>
      <c r="S57" s="13">
        <v>23326.94</v>
      </c>
      <c r="T57" s="14">
        <f t="shared" ref="T57:T62" si="0">SUM(D57:S57)</f>
        <v>59337.47</v>
      </c>
      <c r="U57" s="12"/>
      <c r="V57" s="13"/>
      <c r="W57" s="13"/>
      <c r="X57" s="13"/>
      <c r="Y57" s="13"/>
      <c r="Z57" s="13"/>
      <c r="AA57" s="13"/>
      <c r="AB57" s="13"/>
      <c r="AC57" s="13"/>
      <c r="AD57" s="14">
        <f t="shared" ref="AD57:AD62" si="1">-SUM(U57:AC57)</f>
        <v>0</v>
      </c>
      <c r="AE57" s="62">
        <f t="shared" ref="AE57:AE62" si="2">T57+AD57</f>
        <v>59337.47</v>
      </c>
      <c r="AF57" s="28">
        <f t="shared" ref="AF57:AF62" si="3">SUM(U57:Y57)</f>
        <v>0</v>
      </c>
      <c r="AG57" s="28">
        <v>750</v>
      </c>
      <c r="AH57" s="28">
        <v>0</v>
      </c>
      <c r="AI57" s="28">
        <f t="shared" ref="AI57:AI62" si="4">SUM(AF57:AH57)</f>
        <v>750</v>
      </c>
      <c r="AJ57" s="2"/>
      <c r="AK57" s="2"/>
      <c r="AL57" s="28">
        <f t="shared" ref="AL57:AL62" si="5">AI57*12</f>
        <v>9000</v>
      </c>
      <c r="AM57" s="2"/>
      <c r="AN57" s="2"/>
      <c r="AO57" s="29">
        <f t="shared" ref="AO57:AO62" si="6">IF(AN57&gt;0,AVERAGE(AL57:AN57), IF(AM57&gt;0,AVERAGE(AL57:AM57), AL57))</f>
        <v>9000</v>
      </c>
      <c r="AP57" s="27">
        <f t="shared" ref="AP57:AP62" si="7">$AO57/AP$54</f>
        <v>225000</v>
      </c>
      <c r="AQ57" s="13"/>
      <c r="AR57" s="13"/>
      <c r="AS57" s="13"/>
      <c r="AT57" s="13"/>
      <c r="AU57" s="28">
        <f t="shared" ref="AU57:AU62" si="8">SUM(J57, K57, L57, M57, N57, O57, Q57, R57, S57)</f>
        <v>49744.649999999994</v>
      </c>
      <c r="AV57" s="32" t="e">
        <f t="shared" ref="AV57:AV64" si="9">AU57/AQ57</f>
        <v>#DIV/0!</v>
      </c>
      <c r="AW57" s="37"/>
      <c r="AX57" s="37"/>
      <c r="AY57" s="63"/>
    </row>
    <row r="58" spans="1:66" ht="15.75" thickBot="1" x14ac:dyDescent="0.3">
      <c r="A58" s="4">
        <v>42675</v>
      </c>
      <c r="D58" s="12"/>
      <c r="E58" s="13">
        <v>0</v>
      </c>
      <c r="F58" s="13">
        <v>6100.08</v>
      </c>
      <c r="G58" s="13">
        <v>0</v>
      </c>
      <c r="H58" s="15">
        <f>(H60-H57)/3+H57</f>
        <v>639.09666666666669</v>
      </c>
      <c r="I58" s="13">
        <v>0</v>
      </c>
      <c r="J58" s="15">
        <f>(J60-J57)/3+J57</f>
        <v>2015.6233333333334</v>
      </c>
      <c r="K58" s="6">
        <f>(K57+K59)/2</f>
        <v>1966.04</v>
      </c>
      <c r="L58" s="13">
        <v>0</v>
      </c>
      <c r="M58" s="13">
        <v>0</v>
      </c>
      <c r="N58" s="13"/>
      <c r="O58" s="15">
        <f>(O60-O57)/3+O57</f>
        <v>17328.406666666666</v>
      </c>
      <c r="P58" s="13">
        <f t="shared" ref="P58:P60" si="10">2910.93 + 0</f>
        <v>2910.93</v>
      </c>
      <c r="Q58" s="13">
        <v>0</v>
      </c>
      <c r="R58" s="13">
        <v>5407.1</v>
      </c>
      <c r="S58" s="13">
        <v>23086.12</v>
      </c>
      <c r="T58" s="14">
        <f t="shared" si="0"/>
        <v>59453.396666666667</v>
      </c>
      <c r="U58" s="12"/>
      <c r="V58" s="13"/>
      <c r="W58" s="13"/>
      <c r="X58" s="13"/>
      <c r="Y58" s="13"/>
      <c r="Z58" s="13"/>
      <c r="AA58" s="13"/>
      <c r="AB58" s="13"/>
      <c r="AC58" s="13"/>
      <c r="AD58" s="14"/>
      <c r="AE58" s="62">
        <f t="shared" si="2"/>
        <v>59453.396666666667</v>
      </c>
      <c r="AF58" s="28">
        <f t="shared" si="3"/>
        <v>0</v>
      </c>
      <c r="AG58" s="28">
        <v>750</v>
      </c>
      <c r="AH58" s="28">
        <v>0</v>
      </c>
      <c r="AI58" s="28">
        <f t="shared" si="4"/>
        <v>750</v>
      </c>
      <c r="AJ58" s="2"/>
      <c r="AK58" s="2"/>
      <c r="AL58" s="28">
        <f t="shared" si="5"/>
        <v>9000</v>
      </c>
      <c r="AM58" s="2"/>
      <c r="AN58" s="2"/>
      <c r="AO58" s="29">
        <f t="shared" si="6"/>
        <v>9000</v>
      </c>
      <c r="AP58" s="27">
        <f t="shared" si="7"/>
        <v>225000</v>
      </c>
      <c r="AQ58" s="13"/>
      <c r="AR58" s="13"/>
      <c r="AS58" s="13"/>
      <c r="AT58" s="13"/>
      <c r="AU58" s="28">
        <f t="shared" si="8"/>
        <v>49803.289999999994</v>
      </c>
      <c r="AV58" s="32" t="e">
        <f t="shared" si="9"/>
        <v>#DIV/0!</v>
      </c>
      <c r="AW58" s="32">
        <f t="shared" ref="AW58:AW63" si="11">(AU58-AU57)/AU57</f>
        <v>1.1788202349398262E-3</v>
      </c>
      <c r="AX58" s="37"/>
      <c r="AY58" s="63"/>
    </row>
    <row r="59" spans="1:66" ht="15.75" thickBot="1" x14ac:dyDescent="0.3">
      <c r="A59" s="4">
        <v>42705</v>
      </c>
      <c r="D59" s="12"/>
      <c r="E59" s="13">
        <v>0</v>
      </c>
      <c r="F59" s="13">
        <v>6048.59</v>
      </c>
      <c r="G59" s="13">
        <v>0</v>
      </c>
      <c r="H59" s="15">
        <f>(H60-H57)/3*2+H57</f>
        <v>639.10333333333335</v>
      </c>
      <c r="I59" s="13">
        <v>0</v>
      </c>
      <c r="J59" s="15">
        <f>(J60-J57)/3*2+J57</f>
        <v>2013.1166666666666</v>
      </c>
      <c r="K59" s="13">
        <v>2036.76</v>
      </c>
      <c r="L59" s="13">
        <v>0</v>
      </c>
      <c r="M59" s="13">
        <v>0</v>
      </c>
      <c r="N59" s="13"/>
      <c r="O59" s="15">
        <f>(O60-O57)/3*2+O57</f>
        <v>17659.353333333333</v>
      </c>
      <c r="P59" s="13">
        <f t="shared" si="10"/>
        <v>2910.93</v>
      </c>
      <c r="Q59" s="13">
        <v>0</v>
      </c>
      <c r="R59" s="13">
        <v>5446.52</v>
      </c>
      <c r="S59" s="13">
        <v>24238.59</v>
      </c>
      <c r="T59" s="14">
        <f t="shared" si="0"/>
        <v>60992.963333333333</v>
      </c>
      <c r="U59" s="12"/>
      <c r="V59" s="13"/>
      <c r="W59" s="13"/>
      <c r="X59" s="13"/>
      <c r="Y59" s="13"/>
      <c r="Z59" s="13"/>
      <c r="AA59" s="13"/>
      <c r="AB59" s="13"/>
      <c r="AC59" s="13"/>
      <c r="AD59" s="14">
        <f t="shared" si="1"/>
        <v>0</v>
      </c>
      <c r="AE59" s="62">
        <f t="shared" si="2"/>
        <v>60992.963333333333</v>
      </c>
      <c r="AF59" s="28">
        <f t="shared" si="3"/>
        <v>0</v>
      </c>
      <c r="AG59" s="28">
        <v>750</v>
      </c>
      <c r="AH59" s="28">
        <v>0</v>
      </c>
      <c r="AI59" s="28">
        <f t="shared" si="4"/>
        <v>750</v>
      </c>
      <c r="AJ59" s="28">
        <f t="shared" ref="AJ59:AJ65" si="12">AVERAGE(AI57:AI59)</f>
        <v>750</v>
      </c>
      <c r="AK59" s="2"/>
      <c r="AL59" s="28">
        <f t="shared" si="5"/>
        <v>9000</v>
      </c>
      <c r="AM59" s="28">
        <f t="shared" ref="AM59:AM64" si="13">AJ59*12</f>
        <v>9000</v>
      </c>
      <c r="AN59" s="2"/>
      <c r="AO59" s="29">
        <f t="shared" si="6"/>
        <v>9000</v>
      </c>
      <c r="AP59" s="27">
        <f t="shared" si="7"/>
        <v>225000</v>
      </c>
      <c r="AQ59" s="28">
        <f t="shared" ref="AQ59:AQ68" si="14">AVERAGE(AP57:AP59)</f>
        <v>225000</v>
      </c>
      <c r="AR59" s="13"/>
      <c r="AS59" s="13"/>
      <c r="AT59" s="13"/>
      <c r="AU59" s="28">
        <f t="shared" si="8"/>
        <v>51394.34</v>
      </c>
      <c r="AV59" s="32">
        <f t="shared" si="9"/>
        <v>0.22841928888888888</v>
      </c>
      <c r="AW59" s="32">
        <f t="shared" si="11"/>
        <v>3.1946684646737257E-2</v>
      </c>
      <c r="AX59" s="37"/>
      <c r="AY59" s="63"/>
    </row>
    <row r="60" spans="1:66" ht="15.75" thickBot="1" x14ac:dyDescent="0.3">
      <c r="A60" s="4">
        <v>42736</v>
      </c>
      <c r="D60" s="12"/>
      <c r="E60" s="13">
        <v>0</v>
      </c>
      <c r="F60" s="13">
        <v>4731.74</v>
      </c>
      <c r="G60" s="13">
        <v>0</v>
      </c>
      <c r="H60" s="13">
        <v>639.11</v>
      </c>
      <c r="I60" s="13">
        <v>0</v>
      </c>
      <c r="J60" s="13">
        <v>2010.61</v>
      </c>
      <c r="K60" s="13">
        <v>2018.62</v>
      </c>
      <c r="L60" s="13">
        <v>0</v>
      </c>
      <c r="M60" s="13">
        <v>0</v>
      </c>
      <c r="N60" s="13"/>
      <c r="O60" s="13">
        <v>17990.3</v>
      </c>
      <c r="P60" s="13">
        <f t="shared" si="10"/>
        <v>2910.93</v>
      </c>
      <c r="Q60" s="13">
        <v>0</v>
      </c>
      <c r="R60" s="13">
        <v>5478.2</v>
      </c>
      <c r="S60" s="13">
        <v>24640.1</v>
      </c>
      <c r="T60" s="14">
        <f t="shared" si="0"/>
        <v>60419.609999999993</v>
      </c>
      <c r="U60" s="12"/>
      <c r="V60" s="13"/>
      <c r="W60" s="13"/>
      <c r="X60" s="13"/>
      <c r="Y60" s="13"/>
      <c r="Z60" s="13"/>
      <c r="AA60" s="13"/>
      <c r="AB60" s="13"/>
      <c r="AC60" s="13"/>
      <c r="AD60" s="14">
        <f t="shared" si="1"/>
        <v>0</v>
      </c>
      <c r="AE60" s="62">
        <f t="shared" si="2"/>
        <v>60419.609999999993</v>
      </c>
      <c r="AF60" s="28">
        <f t="shared" si="3"/>
        <v>0</v>
      </c>
      <c r="AG60" s="28">
        <v>750</v>
      </c>
      <c r="AH60" s="28">
        <v>0</v>
      </c>
      <c r="AI60" s="28">
        <f t="shared" si="4"/>
        <v>750</v>
      </c>
      <c r="AJ60" s="28">
        <f t="shared" si="12"/>
        <v>750</v>
      </c>
      <c r="AK60" s="2"/>
      <c r="AL60" s="28">
        <f t="shared" si="5"/>
        <v>9000</v>
      </c>
      <c r="AM60" s="28">
        <f t="shared" si="13"/>
        <v>9000</v>
      </c>
      <c r="AN60" s="2"/>
      <c r="AO60" s="29">
        <f t="shared" si="6"/>
        <v>9000</v>
      </c>
      <c r="AP60" s="27">
        <f t="shared" si="7"/>
        <v>225000</v>
      </c>
      <c r="AQ60" s="28">
        <f t="shared" si="14"/>
        <v>225000</v>
      </c>
      <c r="AR60" s="13"/>
      <c r="AS60" s="13"/>
      <c r="AT60" s="13"/>
      <c r="AU60" s="28">
        <f t="shared" si="8"/>
        <v>52137.83</v>
      </c>
      <c r="AV60" s="32">
        <f t="shared" si="9"/>
        <v>0.23172368888888889</v>
      </c>
      <c r="AW60" s="32">
        <f t="shared" si="11"/>
        <v>1.4466378982588459E-2</v>
      </c>
      <c r="AX60" s="32">
        <f t="shared" ref="AX60:AX65" si="15">(AU60-AU57)/AU57</f>
        <v>4.8109294165302359E-2</v>
      </c>
      <c r="AY60" s="63"/>
    </row>
    <row r="61" spans="1:66" s="5" customFormat="1" ht="15.75" thickBot="1" x14ac:dyDescent="0.3">
      <c r="A61" s="4">
        <v>42767</v>
      </c>
      <c r="B61" s="38"/>
      <c r="C61" s="38"/>
      <c r="D61" s="12"/>
      <c r="E61" s="13">
        <v>0</v>
      </c>
      <c r="F61" s="13">
        <v>7546.29</v>
      </c>
      <c r="G61" s="13">
        <v>0</v>
      </c>
      <c r="H61" s="15">
        <f>(H63-H60)/3+H60</f>
        <v>639.11333333333334</v>
      </c>
      <c r="I61" s="13">
        <v>0</v>
      </c>
      <c r="J61" s="15">
        <f>(J63-J60)/3+J60</f>
        <v>2041.6699999999998</v>
      </c>
      <c r="K61" s="6">
        <f>(K60+K62)/2</f>
        <v>2079.105</v>
      </c>
      <c r="L61" s="13">
        <v>0</v>
      </c>
      <c r="M61" s="13">
        <v>0</v>
      </c>
      <c r="N61" s="13"/>
      <c r="O61" s="15">
        <f>(O63-O60)/3+O60</f>
        <v>18832.746666666666</v>
      </c>
      <c r="P61" s="13">
        <f>2910.93 + 620.04</f>
        <v>3530.97</v>
      </c>
      <c r="Q61" s="13">
        <v>0</v>
      </c>
      <c r="R61" s="13">
        <v>5651.06</v>
      </c>
      <c r="S61" s="13">
        <v>25187.599999999999</v>
      </c>
      <c r="T61" s="14">
        <f t="shared" si="0"/>
        <v>65508.554999999993</v>
      </c>
      <c r="U61" s="12"/>
      <c r="V61" s="13"/>
      <c r="W61" s="13"/>
      <c r="X61" s="13"/>
      <c r="Y61" s="13"/>
      <c r="Z61" s="13"/>
      <c r="AA61" s="13"/>
      <c r="AB61" s="13"/>
      <c r="AC61" s="13"/>
      <c r="AD61" s="14">
        <f t="shared" si="1"/>
        <v>0</v>
      </c>
      <c r="AE61" s="62">
        <f t="shared" si="2"/>
        <v>65508.554999999993</v>
      </c>
      <c r="AF61" s="28">
        <f t="shared" si="3"/>
        <v>0</v>
      </c>
      <c r="AG61" s="28">
        <v>750</v>
      </c>
      <c r="AH61" s="28">
        <v>0</v>
      </c>
      <c r="AI61" s="28">
        <f t="shared" si="4"/>
        <v>750</v>
      </c>
      <c r="AJ61" s="28">
        <f t="shared" si="12"/>
        <v>750</v>
      </c>
      <c r="AK61" s="28"/>
      <c r="AL61" s="28">
        <f t="shared" si="5"/>
        <v>9000</v>
      </c>
      <c r="AM61" s="28">
        <f t="shared" si="13"/>
        <v>9000</v>
      </c>
      <c r="AN61" s="28"/>
      <c r="AO61" s="29">
        <f t="shared" si="6"/>
        <v>9000</v>
      </c>
      <c r="AP61" s="27">
        <f t="shared" si="7"/>
        <v>225000</v>
      </c>
      <c r="AQ61" s="28">
        <f t="shared" si="14"/>
        <v>225000</v>
      </c>
      <c r="AR61" s="28"/>
      <c r="AS61" s="28"/>
      <c r="AT61" s="28"/>
      <c r="AU61" s="28">
        <f t="shared" si="8"/>
        <v>53792.181666666671</v>
      </c>
      <c r="AV61" s="32">
        <f t="shared" si="9"/>
        <v>0.23907636296296297</v>
      </c>
      <c r="AW61" s="32">
        <f t="shared" si="11"/>
        <v>3.1730351391046942E-2</v>
      </c>
      <c r="AX61" s="32">
        <f t="shared" si="15"/>
        <v>8.0092934958045495E-2</v>
      </c>
      <c r="AY61" s="33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</row>
    <row r="62" spans="1:66" s="5" customFormat="1" ht="15.75" thickBot="1" x14ac:dyDescent="0.3">
      <c r="A62" s="4">
        <v>42795</v>
      </c>
      <c r="B62" s="38"/>
      <c r="C62" s="38"/>
      <c r="D62" s="12"/>
      <c r="E62" s="13">
        <v>0</v>
      </c>
      <c r="F62" s="13">
        <v>11373.94</v>
      </c>
      <c r="G62" s="13">
        <v>0</v>
      </c>
      <c r="H62" s="15">
        <f>(H63-H60)/3*2+H60</f>
        <v>639.11666666666667</v>
      </c>
      <c r="I62" s="13">
        <v>0</v>
      </c>
      <c r="J62" s="15">
        <f>(J63-J60)/3*2+J60</f>
        <v>2072.73</v>
      </c>
      <c r="K62" s="13">
        <v>2139.59</v>
      </c>
      <c r="L62" s="13">
        <v>0</v>
      </c>
      <c r="M62" s="13">
        <v>0</v>
      </c>
      <c r="N62" s="13"/>
      <c r="O62" s="15">
        <f>(O63-O60)/3*2+O60</f>
        <v>19675.193333333333</v>
      </c>
      <c r="P62" s="13">
        <f>2910.93 + 740.09</f>
        <v>3651.02</v>
      </c>
      <c r="Q62" s="13">
        <v>0</v>
      </c>
      <c r="R62" s="13">
        <v>5738.8</v>
      </c>
      <c r="S62" s="13">
        <v>25819.34</v>
      </c>
      <c r="T62" s="14">
        <f t="shared" si="0"/>
        <v>71109.73</v>
      </c>
      <c r="U62" s="12"/>
      <c r="V62" s="13"/>
      <c r="W62" s="13"/>
      <c r="X62" s="13"/>
      <c r="Y62" s="13"/>
      <c r="Z62" s="13"/>
      <c r="AA62" s="13"/>
      <c r="AB62" s="13"/>
      <c r="AC62" s="13"/>
      <c r="AD62" s="14">
        <f t="shared" si="1"/>
        <v>0</v>
      </c>
      <c r="AE62" s="62">
        <f t="shared" si="2"/>
        <v>71109.73</v>
      </c>
      <c r="AF62" s="28">
        <f t="shared" si="3"/>
        <v>0</v>
      </c>
      <c r="AG62" s="28">
        <v>750</v>
      </c>
      <c r="AH62" s="28">
        <v>0</v>
      </c>
      <c r="AI62" s="28">
        <f t="shared" si="4"/>
        <v>750</v>
      </c>
      <c r="AJ62" s="28">
        <f t="shared" si="12"/>
        <v>750</v>
      </c>
      <c r="AK62" s="28"/>
      <c r="AL62" s="28">
        <f t="shared" si="5"/>
        <v>9000</v>
      </c>
      <c r="AM62" s="28">
        <f t="shared" si="13"/>
        <v>9000</v>
      </c>
      <c r="AN62" s="28"/>
      <c r="AO62" s="29">
        <f t="shared" si="6"/>
        <v>9000</v>
      </c>
      <c r="AP62" s="27">
        <f t="shared" si="7"/>
        <v>225000</v>
      </c>
      <c r="AQ62" s="28">
        <f t="shared" si="14"/>
        <v>225000</v>
      </c>
      <c r="AR62" s="28"/>
      <c r="AS62" s="28"/>
      <c r="AT62" s="28"/>
      <c r="AU62" s="28">
        <f t="shared" si="8"/>
        <v>55445.653333333335</v>
      </c>
      <c r="AV62" s="32">
        <f t="shared" si="9"/>
        <v>0.24642512592592594</v>
      </c>
      <c r="AW62" s="32">
        <f t="shared" si="11"/>
        <v>3.0738141035303448E-2</v>
      </c>
      <c r="AX62" s="32">
        <f t="shared" si="15"/>
        <v>7.882800583358672E-2</v>
      </c>
      <c r="AY62" s="33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</row>
    <row r="63" spans="1:66" s="5" customFormat="1" ht="15.75" thickBot="1" x14ac:dyDescent="0.3">
      <c r="A63" s="4">
        <v>42826</v>
      </c>
      <c r="B63" s="38">
        <f>IF(A63,0,1)</f>
        <v>0</v>
      </c>
      <c r="C63" s="38">
        <f>IF(B63=0,IF(B64=1,1,0),0)</f>
        <v>0</v>
      </c>
      <c r="D63" s="12"/>
      <c r="E63" s="13">
        <v>0</v>
      </c>
      <c r="F63" s="13">
        <v>9489.76</v>
      </c>
      <c r="G63" s="13">
        <v>0</v>
      </c>
      <c r="H63" s="13">
        <v>639.12</v>
      </c>
      <c r="I63" s="13">
        <v>0</v>
      </c>
      <c r="J63" s="13">
        <v>2103.79</v>
      </c>
      <c r="K63" s="13">
        <v>2121.92</v>
      </c>
      <c r="L63" s="13">
        <v>0</v>
      </c>
      <c r="M63" s="13">
        <v>0</v>
      </c>
      <c r="N63" s="13"/>
      <c r="O63" s="13">
        <v>20517.64</v>
      </c>
      <c r="P63" s="13">
        <f>2910.93 + 920.16</f>
        <v>3831.0899999999997</v>
      </c>
      <c r="Q63" s="13">
        <v>0</v>
      </c>
      <c r="R63" s="13">
        <v>5790.94</v>
      </c>
      <c r="S63" s="13">
        <v>25706.9</v>
      </c>
      <c r="T63" s="14">
        <f>SUM(D63:S63)</f>
        <v>70201.16</v>
      </c>
      <c r="U63" s="12">
        <v>4.3600000000000003</v>
      </c>
      <c r="V63" s="13">
        <v>1927.73</v>
      </c>
      <c r="W63" s="13">
        <v>0</v>
      </c>
      <c r="X63" s="13">
        <v>0</v>
      </c>
      <c r="Y63" s="13">
        <v>0</v>
      </c>
      <c r="Z63" s="13">
        <v>44944</v>
      </c>
      <c r="AA63" s="13">
        <v>0</v>
      </c>
      <c r="AB63" s="13">
        <v>0</v>
      </c>
      <c r="AC63" s="13">
        <v>0</v>
      </c>
      <c r="AD63" s="14">
        <f>-SUM(U63:AC63)</f>
        <v>-46876.09</v>
      </c>
      <c r="AE63" s="62">
        <f>T63+AD63</f>
        <v>23325.070000000007</v>
      </c>
      <c r="AF63" s="28">
        <f>SUM(U63:Y63)</f>
        <v>1932.09</v>
      </c>
      <c r="AG63" s="28">
        <v>750</v>
      </c>
      <c r="AH63" s="28">
        <v>0</v>
      </c>
      <c r="AI63" s="28">
        <f>SUM(AF63:AH63)</f>
        <v>2682.09</v>
      </c>
      <c r="AJ63" s="28">
        <f t="shared" si="12"/>
        <v>1394.03</v>
      </c>
      <c r="AK63" s="28"/>
      <c r="AL63" s="28">
        <f>AI63*12</f>
        <v>32185.08</v>
      </c>
      <c r="AM63" s="28">
        <f t="shared" si="13"/>
        <v>16728.36</v>
      </c>
      <c r="AN63" s="28"/>
      <c r="AO63" s="29">
        <f>IF(AN63&gt;0,AVERAGE(AL63:AN63), IF(AM63&gt;0,AVERAGE(AL63:AM63), AL63))</f>
        <v>24456.720000000001</v>
      </c>
      <c r="AP63" s="27">
        <f>$AO63/AP$54</f>
        <v>611418</v>
      </c>
      <c r="AQ63" s="28">
        <f t="shared" si="14"/>
        <v>353806</v>
      </c>
      <c r="AR63" s="28"/>
      <c r="AS63" s="28">
        <f>AQ63*C63</f>
        <v>0</v>
      </c>
      <c r="AT63" s="28">
        <f>$AS$54</f>
        <v>1379546.2777777778</v>
      </c>
      <c r="AU63" s="28">
        <f>SUM(J63, K63, L63, M63, N63, O63, Q63, R63, S63)</f>
        <v>56241.19</v>
      </c>
      <c r="AV63" s="32">
        <f t="shared" si="9"/>
        <v>0.15896053204298402</v>
      </c>
      <c r="AW63" s="32">
        <f t="shared" si="11"/>
        <v>1.4348043874313926E-2</v>
      </c>
      <c r="AX63" s="32">
        <f t="shared" si="15"/>
        <v>7.8702163093477426E-2</v>
      </c>
      <c r="AY63" s="33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</row>
    <row r="64" spans="1:66" ht="15.75" thickBot="1" x14ac:dyDescent="0.3">
      <c r="A64" s="4">
        <v>42856</v>
      </c>
      <c r="B64" s="38">
        <f t="shared" ref="B64:B76" si="16">IF(A64,0,1)</f>
        <v>0</v>
      </c>
      <c r="C64" s="38">
        <f t="shared" ref="C64:C75" si="17">IF(B64=0,IF(B65=1,1,0),0)</f>
        <v>0</v>
      </c>
      <c r="D64" s="12"/>
      <c r="E64" s="13">
        <v>100</v>
      </c>
      <c r="F64" s="13">
        <v>9899.16</v>
      </c>
      <c r="G64" s="13">
        <v>0</v>
      </c>
      <c r="H64" s="15">
        <f>(H66-H63)/3+H63</f>
        <v>639.12666666666667</v>
      </c>
      <c r="I64" s="13">
        <v>399.75</v>
      </c>
      <c r="J64" s="15">
        <f>(J66-J63)/3+J63</f>
        <v>2124.5</v>
      </c>
      <c r="K64" s="15">
        <f>(K63+K65)/2</f>
        <v>2179.21</v>
      </c>
      <c r="L64" s="13">
        <v>0</v>
      </c>
      <c r="M64" s="13">
        <v>0</v>
      </c>
      <c r="N64" s="13"/>
      <c r="O64" s="15">
        <f>(O66-O63)/3+O63</f>
        <v>21560.616666666665</v>
      </c>
      <c r="P64" s="13">
        <v>3031.09</v>
      </c>
      <c r="Q64" s="13">
        <v>200.37</v>
      </c>
      <c r="R64" s="13">
        <v>5846.83</v>
      </c>
      <c r="S64" s="13">
        <v>25924.48</v>
      </c>
      <c r="T64" s="14">
        <f>SUM(D64:S64)</f>
        <v>71905.133333333331</v>
      </c>
      <c r="U64" s="12">
        <v>0</v>
      </c>
      <c r="V64" s="13">
        <v>770.74</v>
      </c>
      <c r="W64" s="13">
        <v>215.37</v>
      </c>
      <c r="X64" s="13">
        <v>0</v>
      </c>
      <c r="Y64" s="13">
        <v>0</v>
      </c>
      <c r="Z64" s="15">
        <v>44945</v>
      </c>
      <c r="AA64" s="13">
        <v>0</v>
      </c>
      <c r="AB64" s="13">
        <v>0</v>
      </c>
      <c r="AC64" s="13">
        <v>0</v>
      </c>
      <c r="AD64" s="14">
        <f t="shared" ref="AD64:AD76" si="18">-SUM(U64:AC64)</f>
        <v>-45931.11</v>
      </c>
      <c r="AE64" s="62">
        <f t="shared" ref="AE64:AE76" si="19">T64+AD64</f>
        <v>25974.023333333331</v>
      </c>
      <c r="AF64" s="28">
        <f t="shared" ref="AF64:AF74" si="20">SUM(U64:Y64)</f>
        <v>986.11</v>
      </c>
      <c r="AG64" s="28">
        <v>750</v>
      </c>
      <c r="AH64" s="28">
        <v>0</v>
      </c>
      <c r="AI64" s="28">
        <f t="shared" ref="AI64:AI74" si="21">SUM(AF64:AH64)</f>
        <v>1736.1100000000001</v>
      </c>
      <c r="AJ64" s="28">
        <f t="shared" si="12"/>
        <v>1722.7333333333336</v>
      </c>
      <c r="AK64" s="28"/>
      <c r="AL64" s="28">
        <f t="shared" ref="AL64:AL74" si="22">AI64*12</f>
        <v>20833.32</v>
      </c>
      <c r="AM64" s="28">
        <f t="shared" si="13"/>
        <v>20672.800000000003</v>
      </c>
      <c r="AN64" s="28"/>
      <c r="AO64" s="29">
        <f t="shared" ref="AO64:AO74" si="23">IF(AN64&gt;0,AVERAGE(AL64:AN64), IF(AM64&gt;0,AVERAGE(AL64:AM64), AL64))</f>
        <v>20753.060000000001</v>
      </c>
      <c r="AP64" s="27">
        <f>$AO64/AP$54</f>
        <v>518826.5</v>
      </c>
      <c r="AQ64" s="28">
        <f t="shared" si="14"/>
        <v>451748.16666666669</v>
      </c>
      <c r="AR64" s="28"/>
      <c r="AS64" s="28">
        <f>AQ64*C64</f>
        <v>0</v>
      </c>
      <c r="AT64" s="28">
        <f>$AS$54</f>
        <v>1379546.2777777778</v>
      </c>
      <c r="AU64" s="28">
        <f>SUM(J64, K64, L64, M64, N64, O64, Q64, R64, S64)</f>
        <v>57836.006666666668</v>
      </c>
      <c r="AV64" s="32">
        <f t="shared" si="9"/>
        <v>0.12802709769344203</v>
      </c>
      <c r="AW64" s="32">
        <f>(AU64-AU63)/AU63</f>
        <v>2.8356737591552838E-2</v>
      </c>
      <c r="AX64" s="32">
        <f t="shared" si="15"/>
        <v>7.5174958046102608E-2</v>
      </c>
      <c r="AY64" s="33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</row>
    <row r="65" spans="1:66" ht="15.75" thickBot="1" x14ac:dyDescent="0.3">
      <c r="A65" s="4">
        <v>42887</v>
      </c>
      <c r="B65" s="38">
        <f t="shared" si="16"/>
        <v>0</v>
      </c>
      <c r="C65" s="38">
        <f t="shared" si="17"/>
        <v>0</v>
      </c>
      <c r="D65" s="12"/>
      <c r="E65" s="13">
        <v>1248</v>
      </c>
      <c r="F65" s="13">
        <v>9634.6200000000008</v>
      </c>
      <c r="G65" s="13">
        <v>0</v>
      </c>
      <c r="H65" s="15">
        <f>(H66-H63)/3*2+H63</f>
        <v>639.13333333333333</v>
      </c>
      <c r="I65" s="13">
        <v>808.26</v>
      </c>
      <c r="J65" s="15">
        <f>(J66-J63)/3*2+J63</f>
        <v>2145.21</v>
      </c>
      <c r="K65" s="13">
        <v>2236.5</v>
      </c>
      <c r="L65" s="13">
        <v>0</v>
      </c>
      <c r="M65" s="13">
        <v>0</v>
      </c>
      <c r="N65" s="13"/>
      <c r="O65" s="15">
        <f>(O66-O63)/3*2+O63</f>
        <v>22603.593333333334</v>
      </c>
      <c r="P65" s="13">
        <v>3091.37</v>
      </c>
      <c r="Q65" s="13">
        <v>919.83</v>
      </c>
      <c r="R65" s="13">
        <v>5955.21</v>
      </c>
      <c r="S65" s="13">
        <v>26317.33</v>
      </c>
      <c r="T65" s="14">
        <f>SUM(D65:S65)</f>
        <v>75599.056666666671</v>
      </c>
      <c r="U65" s="12">
        <v>149.36000000000001</v>
      </c>
      <c r="V65" s="13">
        <v>1360.7</v>
      </c>
      <c r="W65" s="13">
        <v>478.91</v>
      </c>
      <c r="X65" s="13">
        <v>0</v>
      </c>
      <c r="Y65" s="13">
        <v>0</v>
      </c>
      <c r="Z65" s="15">
        <v>44945</v>
      </c>
      <c r="AA65" s="13">
        <v>0</v>
      </c>
      <c r="AB65" s="13">
        <v>0</v>
      </c>
      <c r="AC65" s="13">
        <v>0</v>
      </c>
      <c r="AD65" s="14">
        <f t="shared" si="18"/>
        <v>-46933.97</v>
      </c>
      <c r="AE65" s="62">
        <f t="shared" si="19"/>
        <v>28665.08666666667</v>
      </c>
      <c r="AF65" s="28">
        <f t="shared" si="20"/>
        <v>1988.97</v>
      </c>
      <c r="AG65" s="28">
        <v>750</v>
      </c>
      <c r="AH65" s="28">
        <v>0</v>
      </c>
      <c r="AI65" s="28">
        <f t="shared" si="21"/>
        <v>2738.9700000000003</v>
      </c>
      <c r="AJ65" s="28">
        <f t="shared" si="12"/>
        <v>2385.7233333333338</v>
      </c>
      <c r="AK65" s="28"/>
      <c r="AL65" s="28">
        <f t="shared" si="22"/>
        <v>32867.64</v>
      </c>
      <c r="AM65" s="28">
        <f>AJ65*12</f>
        <v>28628.680000000008</v>
      </c>
      <c r="AN65" s="28"/>
      <c r="AO65" s="29">
        <f t="shared" si="23"/>
        <v>30748.160000000003</v>
      </c>
      <c r="AP65" s="27">
        <f>$AO65/AP$54</f>
        <v>768704.00000000012</v>
      </c>
      <c r="AQ65" s="28">
        <f t="shared" si="14"/>
        <v>632982.83333333337</v>
      </c>
      <c r="AR65" s="28"/>
      <c r="AS65" s="28">
        <f>AQ65*C65</f>
        <v>0</v>
      </c>
      <c r="AT65" s="28">
        <f>$AS$54</f>
        <v>1379546.2777777778</v>
      </c>
      <c r="AU65" s="28">
        <f>SUM(J65, K65, L65, M65, N65, O65, Q65, R65, S65)</f>
        <v>60177.67333333334</v>
      </c>
      <c r="AV65" s="32">
        <f t="shared" ref="AV65:AV76" si="24">AU65/AQ65</f>
        <v>9.5069992682792606E-2</v>
      </c>
      <c r="AW65" s="32">
        <f t="shared" ref="AW65:AW74" si="25">(AU65-AU64)/AU64</f>
        <v>4.0488041993678531E-2</v>
      </c>
      <c r="AX65" s="32">
        <f t="shared" si="15"/>
        <v>8.5345193275144698E-2</v>
      </c>
      <c r="AY65" s="33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</row>
    <row r="66" spans="1:66" ht="15.75" thickBot="1" x14ac:dyDescent="0.3">
      <c r="A66" s="4">
        <v>42917</v>
      </c>
      <c r="B66" s="38">
        <f t="shared" si="16"/>
        <v>0</v>
      </c>
      <c r="C66" s="38">
        <f t="shared" si="17"/>
        <v>0</v>
      </c>
      <c r="D66" s="12"/>
      <c r="E66" s="13">
        <v>1702.99</v>
      </c>
      <c r="F66" s="13">
        <v>7797.01</v>
      </c>
      <c r="G66" s="13">
        <v>0</v>
      </c>
      <c r="H66" s="13">
        <v>639.14</v>
      </c>
      <c r="I66" s="13">
        <v>1003.84</v>
      </c>
      <c r="J66" s="13">
        <v>2165.92</v>
      </c>
      <c r="K66" s="13">
        <v>2201.48</v>
      </c>
      <c r="L66" s="13">
        <v>0</v>
      </c>
      <c r="M66" s="13">
        <v>0</v>
      </c>
      <c r="N66" s="13"/>
      <c r="O66" s="13">
        <v>23646.57</v>
      </c>
      <c r="P66" s="13">
        <v>3091.65</v>
      </c>
      <c r="Q66" s="13">
        <v>1055.6600000000001</v>
      </c>
      <c r="R66" s="13">
        <v>5969.73</v>
      </c>
      <c r="S66" s="13">
        <v>26346.9</v>
      </c>
      <c r="T66" s="14">
        <f>SUM(D66:S66)</f>
        <v>75620.890000000014</v>
      </c>
      <c r="U66" s="12">
        <v>0</v>
      </c>
      <c r="V66" s="13">
        <v>1407.15</v>
      </c>
      <c r="W66" s="13">
        <v>2410.66</v>
      </c>
      <c r="X66" s="13">
        <v>0</v>
      </c>
      <c r="Y66" s="13">
        <v>0</v>
      </c>
      <c r="Z66" s="15">
        <v>44945</v>
      </c>
      <c r="AA66" s="13">
        <v>0</v>
      </c>
      <c r="AB66" s="13">
        <v>0</v>
      </c>
      <c r="AC66" s="13">
        <v>0</v>
      </c>
      <c r="AD66" s="14">
        <f t="shared" si="18"/>
        <v>-48762.81</v>
      </c>
      <c r="AE66" s="62">
        <f t="shared" si="19"/>
        <v>26858.080000000016</v>
      </c>
      <c r="AF66" s="28">
        <f t="shared" si="20"/>
        <v>3817.81</v>
      </c>
      <c r="AG66" s="28">
        <v>750</v>
      </c>
      <c r="AH66" s="28">
        <v>0</v>
      </c>
      <c r="AI66" s="28">
        <f t="shared" si="21"/>
        <v>4567.8099999999995</v>
      </c>
      <c r="AJ66" s="28">
        <f t="shared" ref="AJ66:AJ76" si="26">AVERAGE(AI64:AI66)</f>
        <v>3014.2966666666666</v>
      </c>
      <c r="AK66" s="28"/>
      <c r="AL66" s="28">
        <f t="shared" si="22"/>
        <v>54813.719999999994</v>
      </c>
      <c r="AM66" s="28">
        <f t="shared" ref="AM66:AM74" si="27">AJ66*12</f>
        <v>36171.56</v>
      </c>
      <c r="AN66" s="28"/>
      <c r="AO66" s="29">
        <f t="shared" si="23"/>
        <v>45492.639999999999</v>
      </c>
      <c r="AP66" s="27">
        <f>$AO66/AP$54</f>
        <v>1137316</v>
      </c>
      <c r="AQ66" s="28">
        <f t="shared" si="14"/>
        <v>808282.16666666663</v>
      </c>
      <c r="AR66" s="28"/>
      <c r="AS66" s="28">
        <f>AQ66*C66</f>
        <v>0</v>
      </c>
      <c r="AT66" s="28">
        <f>$AS$54</f>
        <v>1379546.2777777778</v>
      </c>
      <c r="AU66" s="28">
        <f>SUM(J66, K66, L66, M66, N66, O66, Q66, R66, S66)</f>
        <v>61386.26</v>
      </c>
      <c r="AV66" s="32">
        <f t="shared" si="24"/>
        <v>7.5946572288184022E-2</v>
      </c>
      <c r="AW66" s="32">
        <f t="shared" si="25"/>
        <v>2.0083638993021815E-2</v>
      </c>
      <c r="AX66" s="32">
        <f>(AU66-AU63)/AU63</f>
        <v>9.1482239262718298E-2</v>
      </c>
      <c r="AY66" s="33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</row>
    <row r="67" spans="1:66" ht="15.75" thickBot="1" x14ac:dyDescent="0.3">
      <c r="A67" s="4">
        <v>42948</v>
      </c>
      <c r="B67" s="38">
        <f t="shared" si="16"/>
        <v>0</v>
      </c>
      <c r="C67" s="38">
        <f t="shared" si="17"/>
        <v>0</v>
      </c>
      <c r="D67" s="12"/>
      <c r="E67" s="13">
        <v>2354</v>
      </c>
      <c r="F67" s="13">
        <v>8011.98</v>
      </c>
      <c r="G67" s="13">
        <v>0</v>
      </c>
      <c r="H67" s="15">
        <f>(H69-H66)/3+H66</f>
        <v>639.14333333333332</v>
      </c>
      <c r="I67" s="13">
        <v>1829.57</v>
      </c>
      <c r="J67" s="13">
        <v>0</v>
      </c>
      <c r="K67" s="15">
        <f>(K68+K66)/2</f>
        <v>2215.4499999999998</v>
      </c>
      <c r="L67" s="13">
        <v>2170.19</v>
      </c>
      <c r="M67" s="13">
        <v>0</v>
      </c>
      <c r="N67" s="13"/>
      <c r="O67" s="15">
        <f>(O69-O66)/3+O66</f>
        <v>25162.603333333333</v>
      </c>
      <c r="P67" s="13">
        <v>3211.94</v>
      </c>
      <c r="Q67" s="13">
        <v>1075.1099999999999</v>
      </c>
      <c r="R67" s="13">
        <v>6097.6</v>
      </c>
      <c r="S67" s="13">
        <v>26919.06</v>
      </c>
      <c r="T67" s="14">
        <f>SUM(D67:S67)</f>
        <v>79686.646666666667</v>
      </c>
      <c r="U67" s="12">
        <v>117.47</v>
      </c>
      <c r="V67" s="13">
        <v>1221.72</v>
      </c>
      <c r="W67" s="13">
        <v>3203.5</v>
      </c>
      <c r="X67" s="13">
        <v>0</v>
      </c>
      <c r="Y67" s="13">
        <v>0</v>
      </c>
      <c r="Z67" s="15">
        <v>44945</v>
      </c>
      <c r="AA67" s="13">
        <v>18000</v>
      </c>
      <c r="AB67" s="13">
        <v>0</v>
      </c>
      <c r="AC67" s="13">
        <v>0</v>
      </c>
      <c r="AD67" s="14">
        <f t="shared" si="18"/>
        <v>-67487.69</v>
      </c>
      <c r="AE67" s="62">
        <f t="shared" si="19"/>
        <v>12198.956666666665</v>
      </c>
      <c r="AF67" s="28">
        <f t="shared" si="20"/>
        <v>4542.6900000000005</v>
      </c>
      <c r="AG67" s="28">
        <v>750</v>
      </c>
      <c r="AH67" s="28">
        <v>0</v>
      </c>
      <c r="AI67" s="28">
        <f t="shared" si="21"/>
        <v>5292.6900000000005</v>
      </c>
      <c r="AJ67" s="28">
        <f t="shared" si="26"/>
        <v>4199.8233333333337</v>
      </c>
      <c r="AK67" s="28"/>
      <c r="AL67" s="28">
        <f t="shared" si="22"/>
        <v>63512.280000000006</v>
      </c>
      <c r="AM67" s="28">
        <f t="shared" si="27"/>
        <v>50397.880000000005</v>
      </c>
      <c r="AN67" s="28"/>
      <c r="AO67" s="29">
        <f t="shared" si="23"/>
        <v>56955.08</v>
      </c>
      <c r="AP67" s="27">
        <f>$AO67/AP$54</f>
        <v>1423877</v>
      </c>
      <c r="AQ67" s="28">
        <f t="shared" si="14"/>
        <v>1109965.6666666667</v>
      </c>
      <c r="AR67" s="28"/>
      <c r="AS67" s="28">
        <f>AQ67*C67</f>
        <v>0</v>
      </c>
      <c r="AT67" s="28">
        <f>$AS$54</f>
        <v>1379546.2777777778</v>
      </c>
      <c r="AU67" s="28">
        <f>SUM(J67, K67, L67, M67, N67, O67, Q67, R67, S67)</f>
        <v>63640.013333333336</v>
      </c>
      <c r="AV67" s="32">
        <f t="shared" si="24"/>
        <v>5.7335118773944059E-2</v>
      </c>
      <c r="AW67" s="32">
        <f t="shared" si="25"/>
        <v>3.6714296217644368E-2</v>
      </c>
      <c r="AX67" s="32">
        <f t="shared" ref="AX67:AX74" si="28">(AU67-AU64)/AU64</f>
        <v>0.10035282518929098</v>
      </c>
      <c r="AY67" s="33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</row>
    <row r="68" spans="1:66" ht="15.75" thickBot="1" x14ac:dyDescent="0.3">
      <c r="A68" s="4">
        <v>42979</v>
      </c>
      <c r="B68" s="38">
        <f t="shared" si="16"/>
        <v>0</v>
      </c>
      <c r="C68" s="38">
        <f t="shared" si="17"/>
        <v>0</v>
      </c>
      <c r="D68" s="12"/>
      <c r="E68" s="13">
        <v>2936.01</v>
      </c>
      <c r="F68" s="13">
        <v>7866.65</v>
      </c>
      <c r="G68" s="13">
        <v>0</v>
      </c>
      <c r="H68" s="15">
        <f>(H69-H66)/3*2+H66</f>
        <v>639.14666666666665</v>
      </c>
      <c r="I68" s="13">
        <v>1835.52</v>
      </c>
      <c r="J68" s="13">
        <v>0</v>
      </c>
      <c r="K68" s="13">
        <v>2229.42</v>
      </c>
      <c r="L68" s="13">
        <v>8280.17</v>
      </c>
      <c r="M68" s="13">
        <v>0</v>
      </c>
      <c r="N68" s="13"/>
      <c r="O68" s="15">
        <f>(O69-O66)/3*2+O66</f>
        <v>26678.636666666665</v>
      </c>
      <c r="P68" s="13">
        <v>3192.23</v>
      </c>
      <c r="Q68" s="13">
        <v>1260.42</v>
      </c>
      <c r="R68" s="13">
        <v>0</v>
      </c>
      <c r="S68" s="13">
        <v>26825.77</v>
      </c>
      <c r="T68" s="14">
        <f>SUM(D68:S68)</f>
        <v>81743.973333333328</v>
      </c>
      <c r="U68" s="12">
        <v>108.68</v>
      </c>
      <c r="V68" s="13">
        <v>983.27</v>
      </c>
      <c r="W68" s="13">
        <v>3775.31</v>
      </c>
      <c r="X68" s="13">
        <v>0</v>
      </c>
      <c r="Y68" s="13">
        <v>0</v>
      </c>
      <c r="Z68" s="15">
        <v>44945</v>
      </c>
      <c r="AA68" s="15">
        <f>(AA$67+AA$74)/2</f>
        <v>16921.5</v>
      </c>
      <c r="AB68" s="13">
        <v>0</v>
      </c>
      <c r="AC68" s="13">
        <v>0</v>
      </c>
      <c r="AD68" s="14">
        <f t="shared" si="18"/>
        <v>-66733.760000000009</v>
      </c>
      <c r="AE68" s="62">
        <f t="shared" si="19"/>
        <v>15010.213333333319</v>
      </c>
      <c r="AF68" s="28">
        <f t="shared" si="20"/>
        <v>4867.26</v>
      </c>
      <c r="AG68" s="28">
        <v>750</v>
      </c>
      <c r="AH68" s="28">
        <v>0</v>
      </c>
      <c r="AI68" s="28">
        <f t="shared" si="21"/>
        <v>5617.26</v>
      </c>
      <c r="AJ68" s="28">
        <f t="shared" si="26"/>
        <v>5159.2533333333331</v>
      </c>
      <c r="AK68" s="28">
        <f t="shared" ref="AK68:AK74" si="29">AVERAGE(AI57:AI68)</f>
        <v>2261.2441666666668</v>
      </c>
      <c r="AL68" s="28">
        <f t="shared" si="22"/>
        <v>67407.12</v>
      </c>
      <c r="AM68" s="28">
        <f t="shared" si="27"/>
        <v>61911.039999999994</v>
      </c>
      <c r="AN68" s="28">
        <f t="shared" ref="AN68:AN73" si="30">AK68*12</f>
        <v>27134.93</v>
      </c>
      <c r="AO68" s="29">
        <f t="shared" si="23"/>
        <v>52151.03</v>
      </c>
      <c r="AP68" s="27">
        <f>$AO68/AP$54</f>
        <v>1303775.75</v>
      </c>
      <c r="AQ68" s="28">
        <f t="shared" si="14"/>
        <v>1288322.9166666667</v>
      </c>
      <c r="AR68" s="28">
        <f t="shared" ref="AR68:AR74" si="31">AVERAGE(AP57:AP68)</f>
        <v>592826.4375</v>
      </c>
      <c r="AS68" s="28">
        <f>AQ68*C68</f>
        <v>0</v>
      </c>
      <c r="AT68" s="28">
        <f>$AS$54</f>
        <v>1379546.2777777778</v>
      </c>
      <c r="AU68" s="28">
        <f>SUM(J68, K68, L68, M68, N68, O68, Q68, R68, S68)</f>
        <v>65274.416666666672</v>
      </c>
      <c r="AV68" s="32">
        <f t="shared" si="24"/>
        <v>5.0666192320442435E-2</v>
      </c>
      <c r="AW68" s="32">
        <f t="shared" si="25"/>
        <v>2.5682008028072936E-2</v>
      </c>
      <c r="AX68" s="32">
        <f t="shared" si="28"/>
        <v>8.4694921737862666E-2</v>
      </c>
      <c r="AY68" s="33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</row>
    <row r="69" spans="1:66" ht="15.75" thickBot="1" x14ac:dyDescent="0.3">
      <c r="A69" s="4">
        <v>43009</v>
      </c>
      <c r="B69" s="38">
        <f t="shared" si="16"/>
        <v>0</v>
      </c>
      <c r="C69" s="38">
        <f t="shared" si="17"/>
        <v>0</v>
      </c>
      <c r="D69" s="12"/>
      <c r="E69" s="13">
        <v>1649.36</v>
      </c>
      <c r="F69" s="13">
        <v>4787.99</v>
      </c>
      <c r="G69" s="13">
        <v>0</v>
      </c>
      <c r="H69" s="13">
        <v>639.15</v>
      </c>
      <c r="I69" s="13">
        <v>2157.58</v>
      </c>
      <c r="J69" s="13">
        <v>0</v>
      </c>
      <c r="K69" s="13">
        <v>2258.31</v>
      </c>
      <c r="L69" s="13">
        <v>8357.69</v>
      </c>
      <c r="M69" s="13">
        <v>0</v>
      </c>
      <c r="N69" s="13"/>
      <c r="O69" s="13">
        <v>28194.67</v>
      </c>
      <c r="P69" s="13">
        <v>3160.29</v>
      </c>
      <c r="Q69" s="13">
        <v>1454.47</v>
      </c>
      <c r="R69" s="13">
        <v>0</v>
      </c>
      <c r="S69" s="13">
        <v>27819.32</v>
      </c>
      <c r="T69" s="14">
        <f>SUM(D69:S69)</f>
        <v>80478.83</v>
      </c>
      <c r="U69" s="12">
        <v>56.17</v>
      </c>
      <c r="V69" s="13">
        <v>565.94000000000005</v>
      </c>
      <c r="W69" s="13">
        <v>4184.07</v>
      </c>
      <c r="X69" s="13">
        <v>0</v>
      </c>
      <c r="Y69" s="13">
        <v>0</v>
      </c>
      <c r="Z69" s="15">
        <v>44945</v>
      </c>
      <c r="AA69" s="15">
        <f t="shared" ref="AA69:AA73" si="32">(AA$67+AA$74)/2</f>
        <v>16921.5</v>
      </c>
      <c r="AB69" s="13">
        <v>0</v>
      </c>
      <c r="AC69" s="13">
        <v>0</v>
      </c>
      <c r="AD69" s="14">
        <f t="shared" si="18"/>
        <v>-66672.679999999993</v>
      </c>
      <c r="AE69" s="62">
        <f t="shared" si="19"/>
        <v>13806.150000000009</v>
      </c>
      <c r="AF69" s="28">
        <f t="shared" si="20"/>
        <v>4806.1799999999994</v>
      </c>
      <c r="AG69" s="28">
        <v>750</v>
      </c>
      <c r="AH69" s="28">
        <v>0</v>
      </c>
      <c r="AI69" s="28">
        <f t="shared" si="21"/>
        <v>5556.1799999999994</v>
      </c>
      <c r="AJ69" s="28">
        <f t="shared" si="26"/>
        <v>5488.71</v>
      </c>
      <c r="AK69" s="28">
        <f t="shared" si="29"/>
        <v>2661.7591666666667</v>
      </c>
      <c r="AL69" s="28">
        <f t="shared" si="22"/>
        <v>66674.159999999989</v>
      </c>
      <c r="AM69" s="28">
        <f t="shared" si="27"/>
        <v>65864.52</v>
      </c>
      <c r="AN69" s="28">
        <f t="shared" si="30"/>
        <v>31941.11</v>
      </c>
      <c r="AO69" s="29">
        <f t="shared" si="23"/>
        <v>54826.596666666657</v>
      </c>
      <c r="AP69" s="27">
        <f>$AO69/AP$54</f>
        <v>1370664.9166666665</v>
      </c>
      <c r="AQ69" s="28">
        <f t="shared" ref="AQ69:AQ76" si="33">AVERAGE(AP67:AP69)</f>
        <v>1366105.8888888888</v>
      </c>
      <c r="AR69" s="28">
        <f t="shared" si="31"/>
        <v>688298.51388888888</v>
      </c>
      <c r="AS69" s="28">
        <f>AQ69*C69</f>
        <v>0</v>
      </c>
      <c r="AT69" s="28">
        <f>$AS$54</f>
        <v>1379546.2777777778</v>
      </c>
      <c r="AU69" s="28">
        <f>SUM(J69, K69, L69, M69, N69, O69, Q69, R69, S69)</f>
        <v>68084.459999999992</v>
      </c>
      <c r="AV69" s="32">
        <f t="shared" si="24"/>
        <v>4.9838347491039617E-2</v>
      </c>
      <c r="AW69" s="32">
        <f t="shared" si="25"/>
        <v>4.3049688941430402E-2</v>
      </c>
      <c r="AX69" s="32">
        <f t="shared" si="28"/>
        <v>0.10911562294233253</v>
      </c>
      <c r="AY69" s="33">
        <f t="shared" ref="AY69:AY74" si="34">(AU69-AU57)/AU57</f>
        <v>0.36867904387708023</v>
      </c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</row>
    <row r="70" spans="1:66" ht="15.75" thickBot="1" x14ac:dyDescent="0.3">
      <c r="A70" s="4">
        <v>43040</v>
      </c>
      <c r="B70" s="38">
        <f t="shared" si="16"/>
        <v>0</v>
      </c>
      <c r="C70" s="38">
        <f t="shared" si="17"/>
        <v>0</v>
      </c>
      <c r="D70" s="12"/>
      <c r="E70" s="13">
        <v>5033.6099999999997</v>
      </c>
      <c r="F70" s="13">
        <v>4337.08</v>
      </c>
      <c r="G70" s="13">
        <v>1000</v>
      </c>
      <c r="H70" s="15">
        <f>(H72-H69)/3+H69</f>
        <v>639.15666666666664</v>
      </c>
      <c r="I70" s="13">
        <v>2684.96</v>
      </c>
      <c r="J70" s="13">
        <v>0</v>
      </c>
      <c r="K70" s="13">
        <v>0</v>
      </c>
      <c r="L70" s="13">
        <v>8504.2900000000009</v>
      </c>
      <c r="M70" s="13">
        <v>0</v>
      </c>
      <c r="N70" s="13"/>
      <c r="O70" s="15">
        <f>(O72-O69)/3+O69</f>
        <v>29673.863333333331</v>
      </c>
      <c r="P70" s="13">
        <v>3160.29</v>
      </c>
      <c r="Q70" s="13">
        <v>1600.61</v>
      </c>
      <c r="R70" s="13">
        <v>0</v>
      </c>
      <c r="S70" s="13">
        <v>28419.01</v>
      </c>
      <c r="T70" s="14">
        <f>SUM(D70:S70)</f>
        <v>85052.87</v>
      </c>
      <c r="U70" s="12">
        <v>0</v>
      </c>
      <c r="V70" s="13">
        <v>1723.47</v>
      </c>
      <c r="W70" s="13">
        <v>2956.19</v>
      </c>
      <c r="X70" s="13">
        <v>977.55</v>
      </c>
      <c r="Y70" s="13">
        <v>0</v>
      </c>
      <c r="Z70" s="15">
        <v>44945</v>
      </c>
      <c r="AA70" s="15">
        <f t="shared" si="32"/>
        <v>16921.5</v>
      </c>
      <c r="AB70" s="13">
        <v>0</v>
      </c>
      <c r="AC70" s="13">
        <v>0</v>
      </c>
      <c r="AD70" s="14">
        <f t="shared" si="18"/>
        <v>-67523.709999999992</v>
      </c>
      <c r="AE70" s="62">
        <f t="shared" si="19"/>
        <v>17529.160000000003</v>
      </c>
      <c r="AF70" s="28">
        <f t="shared" si="20"/>
        <v>5657.21</v>
      </c>
      <c r="AG70" s="28">
        <v>750</v>
      </c>
      <c r="AH70" s="28">
        <v>0</v>
      </c>
      <c r="AI70" s="28">
        <f t="shared" si="21"/>
        <v>6407.21</v>
      </c>
      <c r="AJ70" s="28">
        <f t="shared" si="26"/>
        <v>5860.2166666666662</v>
      </c>
      <c r="AK70" s="28">
        <f t="shared" si="29"/>
        <v>3133.1933333333332</v>
      </c>
      <c r="AL70" s="28">
        <f t="shared" si="22"/>
        <v>76886.52</v>
      </c>
      <c r="AM70" s="28">
        <f t="shared" si="27"/>
        <v>70322.599999999991</v>
      </c>
      <c r="AN70" s="28">
        <f t="shared" si="30"/>
        <v>37598.32</v>
      </c>
      <c r="AO70" s="29">
        <f t="shared" si="23"/>
        <v>61602.48</v>
      </c>
      <c r="AP70" s="27">
        <f>$AO70/AP$54</f>
        <v>1540062</v>
      </c>
      <c r="AQ70" s="28">
        <f t="shared" si="33"/>
        <v>1404834.222222222</v>
      </c>
      <c r="AR70" s="28">
        <f t="shared" si="31"/>
        <v>797887.01388888888</v>
      </c>
      <c r="AS70" s="28">
        <f>AQ70*C70</f>
        <v>0</v>
      </c>
      <c r="AT70" s="28">
        <f>$AS$54</f>
        <v>1379546.2777777778</v>
      </c>
      <c r="AU70" s="28">
        <f>SUM(J70, K70, L70, M70, N70, O70, Q70, R70, S70)</f>
        <v>68197.773333333331</v>
      </c>
      <c r="AV70" s="32">
        <f t="shared" si="24"/>
        <v>4.854506834653801E-2</v>
      </c>
      <c r="AW70" s="32">
        <f t="shared" si="25"/>
        <v>1.6643053838326538E-3</v>
      </c>
      <c r="AX70" s="32">
        <f t="shared" si="28"/>
        <v>7.1617835403763708E-2</v>
      </c>
      <c r="AY70" s="33">
        <f t="shared" si="34"/>
        <v>0.36934273485412988</v>
      </c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</row>
    <row r="71" spans="1:66" ht="15.75" thickBot="1" x14ac:dyDescent="0.3">
      <c r="A71" s="4">
        <v>43070</v>
      </c>
      <c r="B71" s="38">
        <f t="shared" si="16"/>
        <v>0</v>
      </c>
      <c r="C71" s="38">
        <f t="shared" si="17"/>
        <v>0</v>
      </c>
      <c r="D71" s="12"/>
      <c r="E71" s="13">
        <v>5341.42</v>
      </c>
      <c r="F71" s="13">
        <v>3579.88</v>
      </c>
      <c r="G71" s="13">
        <v>4000.42</v>
      </c>
      <c r="H71" s="15">
        <f>(H72-H69)/3*2+H69</f>
        <v>639.1633333333333</v>
      </c>
      <c r="I71" s="13">
        <v>2703.16</v>
      </c>
      <c r="J71" s="13">
        <v>0</v>
      </c>
      <c r="K71" s="13">
        <v>0</v>
      </c>
      <c r="L71" s="13">
        <v>8659.92</v>
      </c>
      <c r="M71" s="13">
        <v>2232.13</v>
      </c>
      <c r="N71" s="13"/>
      <c r="O71" s="15">
        <f>(O72-O69)/3*2+O69</f>
        <v>31153.056666666667</v>
      </c>
      <c r="P71" s="13">
        <v>3160.28</v>
      </c>
      <c r="Q71" s="13">
        <v>1766.88</v>
      </c>
      <c r="R71" s="13">
        <v>0</v>
      </c>
      <c r="S71" s="13">
        <v>28456.49</v>
      </c>
      <c r="T71" s="14">
        <f>SUM(D71:S71)</f>
        <v>91692.800000000003</v>
      </c>
      <c r="U71" s="12">
        <v>19.329999999999998</v>
      </c>
      <c r="V71" s="13">
        <v>1912.66</v>
      </c>
      <c r="W71" s="13">
        <v>1876.97</v>
      </c>
      <c r="X71" s="13">
        <v>635.15</v>
      </c>
      <c r="Y71" s="13">
        <v>0</v>
      </c>
      <c r="Z71" s="15">
        <v>44945</v>
      </c>
      <c r="AA71" s="15">
        <f t="shared" si="32"/>
        <v>16921.5</v>
      </c>
      <c r="AB71" s="13">
        <v>0</v>
      </c>
      <c r="AC71" s="13">
        <v>0</v>
      </c>
      <c r="AD71" s="14">
        <f t="shared" si="18"/>
        <v>-66310.61</v>
      </c>
      <c r="AE71" s="62">
        <f t="shared" si="19"/>
        <v>25382.190000000002</v>
      </c>
      <c r="AF71" s="28">
        <f t="shared" si="20"/>
        <v>4444.1099999999997</v>
      </c>
      <c r="AG71" s="28">
        <v>750</v>
      </c>
      <c r="AH71" s="28">
        <v>0</v>
      </c>
      <c r="AI71" s="28">
        <f t="shared" si="21"/>
        <v>5194.1099999999997</v>
      </c>
      <c r="AJ71" s="28">
        <f t="shared" si="26"/>
        <v>5719.166666666667</v>
      </c>
      <c r="AK71" s="28">
        <f t="shared" si="29"/>
        <v>3503.5358333333334</v>
      </c>
      <c r="AL71" s="28">
        <f t="shared" si="22"/>
        <v>62329.319999999992</v>
      </c>
      <c r="AM71" s="28">
        <f t="shared" si="27"/>
        <v>68630</v>
      </c>
      <c r="AN71" s="28">
        <f t="shared" si="30"/>
        <v>42042.43</v>
      </c>
      <c r="AO71" s="29">
        <f t="shared" si="23"/>
        <v>57667.25</v>
      </c>
      <c r="AP71" s="27">
        <f>$AO71/AP$54</f>
        <v>1441681.25</v>
      </c>
      <c r="AQ71" s="28">
        <f t="shared" si="33"/>
        <v>1450802.722222222</v>
      </c>
      <c r="AR71" s="28">
        <f t="shared" si="31"/>
        <v>899277.1180555555</v>
      </c>
      <c r="AS71" s="28">
        <f>AQ71*C71</f>
        <v>0</v>
      </c>
      <c r="AT71" s="28">
        <f>$AS$54</f>
        <v>1379546.2777777778</v>
      </c>
      <c r="AU71" s="28">
        <f>SUM(J71, K71, L71, M71, N71, O71, Q71, R71, S71)</f>
        <v>72268.476666666669</v>
      </c>
      <c r="AV71" s="32">
        <f t="shared" si="24"/>
        <v>4.9812752319606676E-2</v>
      </c>
      <c r="AW71" s="32">
        <f t="shared" si="25"/>
        <v>5.9689680972966348E-2</v>
      </c>
      <c r="AX71" s="32">
        <f t="shared" si="28"/>
        <v>0.10714856381966897</v>
      </c>
      <c r="AY71" s="33">
        <f t="shared" si="34"/>
        <v>0.40615633290877312</v>
      </c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</row>
    <row r="72" spans="1:66" ht="15.75" thickBot="1" x14ac:dyDescent="0.3">
      <c r="A72" s="4">
        <v>43101</v>
      </c>
      <c r="B72" s="38">
        <f t="shared" si="16"/>
        <v>0</v>
      </c>
      <c r="C72" s="38">
        <f>IF(B72=0,IF(B73=1,1,0),0)</f>
        <v>0</v>
      </c>
      <c r="D72" s="12"/>
      <c r="E72" s="13">
        <v>4107.0200000000004</v>
      </c>
      <c r="F72" s="13">
        <v>3514.88</v>
      </c>
      <c r="G72" s="13">
        <v>4004.23</v>
      </c>
      <c r="H72" s="13">
        <v>639.16999999999996</v>
      </c>
      <c r="I72" s="13">
        <v>2943.3</v>
      </c>
      <c r="J72" s="13">
        <v>0</v>
      </c>
      <c r="K72" s="13">
        <v>0</v>
      </c>
      <c r="L72" s="13">
        <v>8739.07</v>
      </c>
      <c r="M72" s="13">
        <v>2210.83</v>
      </c>
      <c r="N72" s="13"/>
      <c r="O72" s="13">
        <v>32632.25</v>
      </c>
      <c r="P72" s="13">
        <v>3160.3</v>
      </c>
      <c r="Q72" s="13">
        <v>1924.72</v>
      </c>
      <c r="R72" s="13">
        <v>0</v>
      </c>
      <c r="S72" s="13">
        <v>29614.46</v>
      </c>
      <c r="T72" s="14">
        <f>SUM(D72:S72)</f>
        <v>93490.23000000001</v>
      </c>
      <c r="U72" s="12">
        <v>0</v>
      </c>
      <c r="V72" s="13">
        <v>1611.28</v>
      </c>
      <c r="W72" s="13">
        <v>1131.1600000000001</v>
      </c>
      <c r="X72" s="13">
        <v>672.48</v>
      </c>
      <c r="Y72" s="13">
        <v>0</v>
      </c>
      <c r="Z72" s="15">
        <v>44945</v>
      </c>
      <c r="AA72" s="15">
        <f t="shared" si="32"/>
        <v>16921.5</v>
      </c>
      <c r="AB72" s="13">
        <v>0</v>
      </c>
      <c r="AC72" s="13">
        <v>0</v>
      </c>
      <c r="AD72" s="14">
        <f t="shared" si="18"/>
        <v>-65281.42</v>
      </c>
      <c r="AE72" s="62">
        <f t="shared" si="19"/>
        <v>28208.810000000012</v>
      </c>
      <c r="AF72" s="28">
        <f t="shared" si="20"/>
        <v>3414.92</v>
      </c>
      <c r="AG72" s="28">
        <v>750</v>
      </c>
      <c r="AH72" s="28">
        <v>0</v>
      </c>
      <c r="AI72" s="28">
        <f t="shared" si="21"/>
        <v>4164.92</v>
      </c>
      <c r="AJ72" s="28">
        <f t="shared" si="26"/>
        <v>5255.413333333333</v>
      </c>
      <c r="AK72" s="28">
        <f t="shared" si="29"/>
        <v>3788.1124999999997</v>
      </c>
      <c r="AL72" s="28">
        <f t="shared" si="22"/>
        <v>49979.040000000001</v>
      </c>
      <c r="AM72" s="28">
        <f t="shared" si="27"/>
        <v>63064.959999999992</v>
      </c>
      <c r="AN72" s="28">
        <f t="shared" si="30"/>
        <v>45457.35</v>
      </c>
      <c r="AO72" s="29">
        <f t="shared" si="23"/>
        <v>52833.783333333333</v>
      </c>
      <c r="AP72" s="27">
        <f>$AO72/AP$54</f>
        <v>1320844.5833333333</v>
      </c>
      <c r="AQ72" s="28">
        <f t="shared" si="33"/>
        <v>1434195.9444444443</v>
      </c>
      <c r="AR72" s="28">
        <f t="shared" si="31"/>
        <v>990597.5</v>
      </c>
      <c r="AS72" s="28">
        <f>AQ72*C72</f>
        <v>0</v>
      </c>
      <c r="AT72" s="28">
        <f>$AS$54</f>
        <v>1379546.2777777778</v>
      </c>
      <c r="AU72" s="28">
        <f>SUM(J72, K72, L72, M72, N72, O72, Q72, R72, S72)</f>
        <v>75121.33</v>
      </c>
      <c r="AV72" s="32">
        <f t="shared" si="24"/>
        <v>5.2378707589428648E-2</v>
      </c>
      <c r="AW72" s="32">
        <f t="shared" si="25"/>
        <v>3.947576405258852E-2</v>
      </c>
      <c r="AX72" s="32">
        <f t="shared" si="28"/>
        <v>0.10335500935162019</v>
      </c>
      <c r="AY72" s="33">
        <f t="shared" si="34"/>
        <v>0.44082195212190456</v>
      </c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</row>
    <row r="73" spans="1:66" ht="15.75" thickBot="1" x14ac:dyDescent="0.3">
      <c r="A73" s="4">
        <v>43132</v>
      </c>
      <c r="B73" s="38">
        <f t="shared" si="16"/>
        <v>0</v>
      </c>
      <c r="C73" s="38">
        <f t="shared" si="17"/>
        <v>1</v>
      </c>
      <c r="D73" s="16"/>
      <c r="E73" s="17">
        <v>7913.53</v>
      </c>
      <c r="F73" s="17">
        <v>3678.34</v>
      </c>
      <c r="G73" s="17">
        <v>9009.31</v>
      </c>
      <c r="H73" s="60">
        <v>639.16999999999996</v>
      </c>
      <c r="I73" s="17">
        <v>3354.62</v>
      </c>
      <c r="J73" s="17">
        <v>0</v>
      </c>
      <c r="K73" s="17">
        <v>0</v>
      </c>
      <c r="L73" s="17">
        <v>9050.3700000000008</v>
      </c>
      <c r="M73" s="17">
        <v>2377.15</v>
      </c>
      <c r="N73" s="17"/>
      <c r="O73" s="60">
        <v>35620</v>
      </c>
      <c r="P73" s="17">
        <v>3100.29</v>
      </c>
      <c r="Q73" s="17">
        <v>2240.11</v>
      </c>
      <c r="R73" s="17">
        <v>0</v>
      </c>
      <c r="S73" s="17">
        <v>31644.82</v>
      </c>
      <c r="T73" s="18">
        <f>SUM(D73:S73)</f>
        <v>108627.70999999999</v>
      </c>
      <c r="U73" s="12">
        <v>0</v>
      </c>
      <c r="V73" s="13">
        <v>1744.9</v>
      </c>
      <c r="W73" s="13">
        <v>1520.5</v>
      </c>
      <c r="X73" s="13">
        <v>866.37</v>
      </c>
      <c r="Y73" s="13">
        <v>0</v>
      </c>
      <c r="Z73" s="15">
        <v>44945</v>
      </c>
      <c r="AA73" s="15">
        <f t="shared" si="32"/>
        <v>16921.5</v>
      </c>
      <c r="AB73" s="13">
        <v>0</v>
      </c>
      <c r="AC73" s="13">
        <v>0</v>
      </c>
      <c r="AD73" s="14">
        <f t="shared" si="18"/>
        <v>-65998.27</v>
      </c>
      <c r="AE73" s="62">
        <f t="shared" si="19"/>
        <v>42629.439999999988</v>
      </c>
      <c r="AF73" s="28">
        <f t="shared" si="20"/>
        <v>4131.7700000000004</v>
      </c>
      <c r="AG73" s="28">
        <v>750</v>
      </c>
      <c r="AH73" s="28">
        <v>0</v>
      </c>
      <c r="AI73" s="28">
        <f t="shared" si="21"/>
        <v>4881.7700000000004</v>
      </c>
      <c r="AJ73" s="28">
        <f t="shared" si="26"/>
        <v>4746.9333333333334</v>
      </c>
      <c r="AK73" s="28">
        <f t="shared" si="29"/>
        <v>4132.4266666666663</v>
      </c>
      <c r="AL73" s="28">
        <f t="shared" si="22"/>
        <v>58581.240000000005</v>
      </c>
      <c r="AM73" s="28">
        <f t="shared" si="27"/>
        <v>56963.199999999997</v>
      </c>
      <c r="AN73" s="28">
        <f t="shared" si="30"/>
        <v>49589.119999999995</v>
      </c>
      <c r="AO73" s="29">
        <f t="shared" si="23"/>
        <v>55044.52</v>
      </c>
      <c r="AP73" s="27">
        <f>$AO73/AP$54</f>
        <v>1376113</v>
      </c>
      <c r="AQ73" s="28">
        <f t="shared" si="33"/>
        <v>1379546.2777777778</v>
      </c>
      <c r="AR73" s="28">
        <f t="shared" si="31"/>
        <v>1086523.5833333333</v>
      </c>
      <c r="AS73" s="28">
        <f>AQ73*C73</f>
        <v>1379546.2777777778</v>
      </c>
      <c r="AT73" s="28">
        <f>$AS$54</f>
        <v>1379546.2777777778</v>
      </c>
      <c r="AU73" s="28">
        <f>SUM(J73, K73, L73, M73, N73, O73, Q73, R73, S73)</f>
        <v>80932.450000000012</v>
      </c>
      <c r="AV73" s="32">
        <f t="shared" si="24"/>
        <v>5.8665991350698929E-2</v>
      </c>
      <c r="AW73" s="32">
        <f t="shared" si="25"/>
        <v>7.7356457879539806E-2</v>
      </c>
      <c r="AX73" s="32">
        <f t="shared" si="28"/>
        <v>0.18673156093268364</v>
      </c>
      <c r="AY73" s="33">
        <f t="shared" si="34"/>
        <v>0.50453927489896389</v>
      </c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</row>
    <row r="74" spans="1:66" ht="15.75" thickBot="1" x14ac:dyDescent="0.3">
      <c r="A74" s="4"/>
      <c r="B74" s="38">
        <f t="shared" si="16"/>
        <v>1</v>
      </c>
      <c r="C74" s="38">
        <f t="shared" si="17"/>
        <v>0</v>
      </c>
      <c r="D74" s="12"/>
      <c r="E74" s="13"/>
      <c r="F74" s="13">
        <v>550</v>
      </c>
      <c r="G74" s="13"/>
      <c r="H74" s="13">
        <v>305</v>
      </c>
      <c r="I74" s="13">
        <v>3498.84</v>
      </c>
      <c r="J74" s="13">
        <v>0</v>
      </c>
      <c r="K74" s="13">
        <v>0</v>
      </c>
      <c r="L74" s="13">
        <v>8827.0499999999993</v>
      </c>
      <c r="M74" s="13">
        <v>5272.95</v>
      </c>
      <c r="N74" s="13"/>
      <c r="O74" s="59">
        <v>35470</v>
      </c>
      <c r="P74" s="13">
        <v>3100.27</v>
      </c>
      <c r="Q74" s="13">
        <v>2350.27</v>
      </c>
      <c r="R74" s="13"/>
      <c r="S74" s="13">
        <v>30289.09</v>
      </c>
      <c r="T74" s="14">
        <f>SUM(D74:S74)</f>
        <v>89663.469999999987</v>
      </c>
      <c r="U74" s="12">
        <v>0</v>
      </c>
      <c r="V74" s="13">
        <v>1716.38</v>
      </c>
      <c r="W74" s="13">
        <v>908.45</v>
      </c>
      <c r="X74" s="13">
        <v>802.56</v>
      </c>
      <c r="Y74" s="13">
        <v>0</v>
      </c>
      <c r="Z74" s="13">
        <v>44946</v>
      </c>
      <c r="AA74" s="13">
        <v>15843</v>
      </c>
      <c r="AB74" s="13">
        <v>0</v>
      </c>
      <c r="AC74" s="13">
        <v>0</v>
      </c>
      <c r="AD74" s="14">
        <f t="shared" si="18"/>
        <v>-64216.39</v>
      </c>
      <c r="AE74" s="62">
        <f t="shared" si="19"/>
        <v>25447.079999999987</v>
      </c>
      <c r="AF74" s="28">
        <f t="shared" si="20"/>
        <v>3427.39</v>
      </c>
      <c r="AG74" s="28">
        <v>750</v>
      </c>
      <c r="AH74" s="28">
        <v>0</v>
      </c>
      <c r="AI74" s="28">
        <f t="shared" si="21"/>
        <v>4177.3899999999994</v>
      </c>
      <c r="AJ74" s="28">
        <f t="shared" si="26"/>
        <v>4408.0266666666666</v>
      </c>
      <c r="AK74" s="28">
        <f t="shared" si="29"/>
        <v>4418.0424999999996</v>
      </c>
      <c r="AL74" s="28">
        <f t="shared" si="22"/>
        <v>50128.679999999993</v>
      </c>
      <c r="AM74" s="28">
        <f t="shared" si="27"/>
        <v>52896.32</v>
      </c>
      <c r="AN74" s="28">
        <f>AK74*12</f>
        <v>53016.509999999995</v>
      </c>
      <c r="AO74" s="29">
        <f t="shared" si="23"/>
        <v>52013.83666666667</v>
      </c>
      <c r="AP74" s="27">
        <f>$AO74/AP$54</f>
        <v>1300345.9166666667</v>
      </c>
      <c r="AQ74" s="28">
        <f t="shared" si="33"/>
        <v>1332434.5</v>
      </c>
      <c r="AR74" s="28">
        <f t="shared" si="31"/>
        <v>1176135.7430555555</v>
      </c>
      <c r="AS74" s="28">
        <f>AQ74*C74</f>
        <v>0</v>
      </c>
      <c r="AT74" s="28">
        <f>$AS$54</f>
        <v>1379546.2777777778</v>
      </c>
      <c r="AU74" s="28">
        <f>SUM(J74, K74, L74, M74, N74, O74, Q74, R74, S74)</f>
        <v>82209.36</v>
      </c>
      <c r="AV74" s="32">
        <f t="shared" si="24"/>
        <v>6.1698612577203611E-2</v>
      </c>
      <c r="AW74" s="32">
        <f t="shared" si="25"/>
        <v>1.5777478625693262E-2</v>
      </c>
      <c r="AX74" s="32">
        <f t="shared" si="28"/>
        <v>0.1375549034911164</v>
      </c>
      <c r="AY74" s="33">
        <f t="shared" si="34"/>
        <v>0.48270161965206043</v>
      </c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</row>
    <row r="75" spans="1:66" ht="15.75" thickBot="1" x14ac:dyDescent="0.3">
      <c r="A75" s="4"/>
      <c r="B75" s="38">
        <f t="shared" si="16"/>
        <v>1</v>
      </c>
      <c r="C75" s="38">
        <f t="shared" si="17"/>
        <v>0</v>
      </c>
      <c r="D75" s="12"/>
      <c r="E75" s="13"/>
      <c r="F75" s="13">
        <v>550</v>
      </c>
      <c r="G75" s="13"/>
      <c r="H75" s="13">
        <v>305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4">
        <f t="shared" ref="T75:T76" si="35">SUM(D75:S75)</f>
        <v>855</v>
      </c>
      <c r="U75" s="12"/>
      <c r="V75" s="13"/>
      <c r="W75" s="13"/>
      <c r="X75" s="13"/>
      <c r="Y75" s="13"/>
      <c r="Z75" s="13"/>
      <c r="AA75" s="13"/>
      <c r="AB75" s="13"/>
      <c r="AC75" s="13"/>
      <c r="AD75" s="14">
        <f t="shared" si="18"/>
        <v>0</v>
      </c>
      <c r="AE75" s="62">
        <f t="shared" si="19"/>
        <v>855</v>
      </c>
      <c r="AF75" s="28">
        <f t="shared" ref="AF75:AF76" si="36">SUM(U75:Y75)</f>
        <v>0</v>
      </c>
      <c r="AG75" s="28">
        <v>750</v>
      </c>
      <c r="AH75" s="28">
        <v>0</v>
      </c>
      <c r="AI75" s="28">
        <f t="shared" ref="AI75:AI76" si="37">SUM(AF75:AH75)</f>
        <v>750</v>
      </c>
      <c r="AJ75" s="28">
        <f t="shared" si="26"/>
        <v>3269.72</v>
      </c>
      <c r="AK75" s="28">
        <f>AVERAGE(AI64:AI75)</f>
        <v>4257.0349999999999</v>
      </c>
      <c r="AL75" s="28">
        <f t="shared" ref="AL75:AL76" si="38">AI75*12</f>
        <v>9000</v>
      </c>
      <c r="AM75" s="28">
        <f t="shared" ref="AM75:AM76" si="39">AJ75*12</f>
        <v>39236.639999999999</v>
      </c>
      <c r="AN75" s="28">
        <f t="shared" ref="AN75:AN76" si="40">AK75*12</f>
        <v>51084.42</v>
      </c>
      <c r="AO75" s="29">
        <f t="shared" ref="AO75:AO76" si="41">IF(AN75&gt;0,AVERAGE(AL75:AN75), IF(AM75&gt;0,AVERAGE(AL75:AM75), AL75))</f>
        <v>33107.019999999997</v>
      </c>
      <c r="AP75" s="27">
        <f>$AO75/AP$54</f>
        <v>827675.49999999988</v>
      </c>
      <c r="AQ75" s="28">
        <f t="shared" si="33"/>
        <v>1168044.8055555557</v>
      </c>
      <c r="AR75" s="28">
        <f>AVERAGE(AP64:AP75)</f>
        <v>1194157.2013888888</v>
      </c>
      <c r="AS75" s="28">
        <f>AQ75*C75</f>
        <v>0</v>
      </c>
      <c r="AT75" s="28">
        <f>$AS$54</f>
        <v>1379546.2777777778</v>
      </c>
      <c r="AU75" s="28">
        <f>SUM(J75, K75, L75, M75, N75, O75, Q75, R75, S75)</f>
        <v>0</v>
      </c>
      <c r="AV75" s="32">
        <f t="shared" si="24"/>
        <v>0</v>
      </c>
      <c r="AW75" s="32">
        <f t="shared" ref="AW75" si="42">(AU75-AU74)/AU74</f>
        <v>-1</v>
      </c>
      <c r="AX75" s="32">
        <f t="shared" ref="AX75" si="43">(AU75-AU72)/AU72</f>
        <v>-1</v>
      </c>
      <c r="AY75" s="33">
        <f>(AU75-AU63)/AU63</f>
        <v>-1</v>
      </c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</row>
    <row r="76" spans="1:66" ht="15.75" thickBot="1" x14ac:dyDescent="0.3">
      <c r="A76" s="4"/>
      <c r="B76" s="38">
        <f t="shared" si="16"/>
        <v>1</v>
      </c>
      <c r="C76" s="38">
        <f>IF(B76=0,IF(#REF!=1,1,0),0)</f>
        <v>0</v>
      </c>
      <c r="D76" s="12"/>
      <c r="E76" s="13"/>
      <c r="F76" s="13">
        <v>550</v>
      </c>
      <c r="G76" s="13"/>
      <c r="H76" s="13">
        <v>305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4">
        <f t="shared" si="35"/>
        <v>855</v>
      </c>
      <c r="U76" s="16"/>
      <c r="V76" s="17"/>
      <c r="W76" s="17"/>
      <c r="X76" s="17"/>
      <c r="Y76" s="17"/>
      <c r="Z76" s="17"/>
      <c r="AA76" s="17"/>
      <c r="AB76" s="17"/>
      <c r="AC76" s="17"/>
      <c r="AD76" s="18">
        <f t="shared" si="18"/>
        <v>0</v>
      </c>
      <c r="AE76" s="62">
        <f t="shared" si="19"/>
        <v>855</v>
      </c>
      <c r="AF76" s="28">
        <f t="shared" si="36"/>
        <v>0</v>
      </c>
      <c r="AG76" s="28"/>
      <c r="AH76" s="28">
        <v>0</v>
      </c>
      <c r="AI76" s="28">
        <f t="shared" si="37"/>
        <v>0</v>
      </c>
      <c r="AJ76" s="28">
        <f t="shared" si="26"/>
        <v>1642.4633333333331</v>
      </c>
      <c r="AK76" s="28">
        <f t="shared" ref="AK76" si="44">AVERAGE(AI65:AI76)</f>
        <v>4112.3591666666662</v>
      </c>
      <c r="AL76" s="28">
        <f t="shared" si="38"/>
        <v>0</v>
      </c>
      <c r="AM76" s="28">
        <f t="shared" si="39"/>
        <v>19709.559999999998</v>
      </c>
      <c r="AN76" s="28">
        <f t="shared" si="40"/>
        <v>49348.31</v>
      </c>
      <c r="AO76" s="29">
        <f t="shared" si="41"/>
        <v>23019.289999999997</v>
      </c>
      <c r="AP76" s="34">
        <f>$AO76/AP$54</f>
        <v>575482.24999999988</v>
      </c>
      <c r="AQ76" s="30">
        <f t="shared" si="33"/>
        <v>901167.88888888888</v>
      </c>
      <c r="AR76" s="30">
        <f>AVERAGE(AP65:AP76)</f>
        <v>1198878.5138888888</v>
      </c>
      <c r="AS76" s="30">
        <f>AQ76*C76</f>
        <v>0</v>
      </c>
      <c r="AT76" s="30">
        <f>$AS$54</f>
        <v>1379546.2777777778</v>
      </c>
      <c r="AU76" s="30">
        <f>SUM(J76, K76, L76, M76, N76, O76, Q76, R76, S76)</f>
        <v>0</v>
      </c>
      <c r="AV76" s="35">
        <f t="shared" si="24"/>
        <v>0</v>
      </c>
      <c r="AW76" s="35" t="e">
        <f t="shared" ref="AW76" si="45">(AU76-AU75)/AU75</f>
        <v>#DIV/0!</v>
      </c>
      <c r="AX76" s="35">
        <f t="shared" ref="AX76" si="46">(AU76-AU73)/AU73</f>
        <v>-1</v>
      </c>
      <c r="AY76" s="36">
        <f t="shared" ref="AY76" si="47">(AU76-AU64)/AU64</f>
        <v>-1</v>
      </c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</row>
    <row r="77" spans="1:66" s="52" customFormat="1" ht="15.75" thickBot="1" x14ac:dyDescent="0.3">
      <c r="A77" s="39"/>
      <c r="B77" s="40"/>
      <c r="C77" s="40"/>
      <c r="D77" s="4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3"/>
      <c r="U77" s="41"/>
      <c r="V77" s="42"/>
      <c r="W77" s="42"/>
      <c r="X77" s="42"/>
      <c r="Y77" s="42"/>
      <c r="Z77" s="42"/>
      <c r="AA77" s="42"/>
      <c r="AB77" s="42"/>
      <c r="AC77" s="42"/>
      <c r="AD77" s="44"/>
      <c r="AE77" s="45"/>
      <c r="AF77" s="46"/>
      <c r="AG77" s="46"/>
      <c r="AH77" s="46"/>
      <c r="AI77" s="46"/>
      <c r="AJ77" s="46"/>
      <c r="AK77" s="46"/>
      <c r="AL77" s="46"/>
      <c r="AM77" s="46"/>
      <c r="AN77" s="46"/>
      <c r="AO77" s="47"/>
      <c r="AP77" s="48"/>
      <c r="AQ77" s="46"/>
      <c r="AR77" s="46"/>
      <c r="AS77" s="46"/>
      <c r="AT77" s="46"/>
      <c r="AU77" s="46"/>
      <c r="AV77" s="49"/>
      <c r="AW77" s="49"/>
      <c r="AX77" s="49"/>
      <c r="AY77" s="50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</row>
    <row r="78" spans="1:66" s="55" customFormat="1" ht="60.75" x14ac:dyDescent="0.25">
      <c r="A78" s="5" t="s">
        <v>19</v>
      </c>
      <c r="B78" s="5"/>
      <c r="C78" s="5"/>
      <c r="D78" s="56"/>
      <c r="E78" s="56" t="s">
        <v>70</v>
      </c>
      <c r="F78" s="56" t="s">
        <v>69</v>
      </c>
      <c r="G78" s="56" t="s">
        <v>64</v>
      </c>
      <c r="H78" s="56" t="s">
        <v>69</v>
      </c>
      <c r="I78" s="56" t="s">
        <v>63</v>
      </c>
      <c r="J78" s="56" t="s">
        <v>68</v>
      </c>
      <c r="K78" s="56" t="s">
        <v>68</v>
      </c>
      <c r="L78" s="56"/>
      <c r="M78" s="56"/>
      <c r="N78" s="56"/>
      <c r="O78" s="56"/>
      <c r="P78" s="56"/>
      <c r="Q78" s="56"/>
      <c r="R78" s="56"/>
      <c r="S78" s="56" t="s">
        <v>67</v>
      </c>
      <c r="T78" s="57"/>
      <c r="U78" s="56" t="s">
        <v>65</v>
      </c>
      <c r="V78" s="56" t="s">
        <v>65</v>
      </c>
      <c r="W78" s="56" t="s">
        <v>65</v>
      </c>
      <c r="X78" s="56" t="s">
        <v>65</v>
      </c>
      <c r="Y78" s="56" t="s">
        <v>65</v>
      </c>
      <c r="Z78" s="56" t="s">
        <v>66</v>
      </c>
      <c r="AA78" s="56" t="s">
        <v>66</v>
      </c>
      <c r="AB78" s="56" t="s">
        <v>66</v>
      </c>
      <c r="AC78" s="56" t="s">
        <v>66</v>
      </c>
      <c r="AD78" s="58"/>
      <c r="AE78" s="58"/>
    </row>
    <row r="79" spans="1:66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7"/>
      <c r="U79" s="2" t="s">
        <v>71</v>
      </c>
      <c r="V79" s="2"/>
      <c r="W79" s="2"/>
      <c r="X79" s="2"/>
      <c r="Y79" s="2"/>
      <c r="Z79" s="2"/>
      <c r="AA79" s="2"/>
    </row>
    <row r="80" spans="1:66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7"/>
      <c r="U80" s="2"/>
      <c r="V80" s="2"/>
      <c r="W80" s="2"/>
      <c r="X80" s="2"/>
      <c r="Y80" s="2"/>
      <c r="Z80" s="2"/>
      <c r="AA80" s="2"/>
    </row>
    <row r="81" spans="1:27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7"/>
      <c r="U81" s="2"/>
      <c r="V81" s="2"/>
      <c r="W81" s="2"/>
      <c r="X81" s="2"/>
      <c r="Y81" s="2"/>
      <c r="Z81" s="2"/>
      <c r="AA81" s="2"/>
    </row>
    <row r="82" spans="1:27" x14ac:dyDescent="0.25">
      <c r="D82" s="2"/>
      <c r="E82" s="2" t="s">
        <v>72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7"/>
      <c r="U82" s="2"/>
      <c r="V82" s="2"/>
      <c r="W82" s="2"/>
      <c r="X82" s="2"/>
      <c r="Y82" s="2"/>
      <c r="Z82" s="2"/>
      <c r="AA82" s="2"/>
    </row>
    <row r="83" spans="1:27" x14ac:dyDescent="0.25">
      <c r="D83" s="2"/>
      <c r="E83" s="2" t="s">
        <v>73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7"/>
      <c r="U83" s="2"/>
      <c r="V83" s="2"/>
      <c r="W83" s="2"/>
      <c r="X83" s="2"/>
      <c r="Y83" s="2"/>
      <c r="Z83" s="2"/>
      <c r="AA83" s="2"/>
    </row>
    <row r="84" spans="1:27" x14ac:dyDescent="0.25">
      <c r="D84" s="2"/>
      <c r="E84" s="2" t="s">
        <v>74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7"/>
      <c r="U84" s="2"/>
      <c r="V84" s="2"/>
      <c r="W84" s="2"/>
      <c r="X84" s="2"/>
      <c r="Y84" s="2"/>
      <c r="Z84" s="2"/>
      <c r="AA84" s="2"/>
    </row>
    <row r="85" spans="1:27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7"/>
      <c r="U85" s="2"/>
      <c r="V85" s="2"/>
      <c r="W85" s="2"/>
      <c r="X85" s="2"/>
      <c r="Y85" s="2"/>
      <c r="Z85" s="2"/>
      <c r="AA85" s="2"/>
    </row>
    <row r="86" spans="1:27" x14ac:dyDescent="0.25">
      <c r="A86" s="5"/>
      <c r="B86" s="5"/>
      <c r="C86" s="5"/>
    </row>
    <row r="87" spans="1:27" x14ac:dyDescent="0.25">
      <c r="A87" s="4"/>
      <c r="B87" s="4"/>
      <c r="C87" s="4"/>
    </row>
    <row r="88" spans="1:27" x14ac:dyDescent="0.25">
      <c r="A88" s="4"/>
      <c r="B88" s="4"/>
      <c r="C88" s="4"/>
    </row>
    <row r="89" spans="1:27" x14ac:dyDescent="0.25">
      <c r="A89" s="4"/>
      <c r="B89" s="4"/>
      <c r="C89" s="4"/>
    </row>
    <row r="90" spans="1:27" x14ac:dyDescent="0.25">
      <c r="A90" s="4"/>
      <c r="B90" s="4"/>
      <c r="C90" s="4"/>
    </row>
    <row r="91" spans="1:27" x14ac:dyDescent="0.25">
      <c r="A91" s="4"/>
      <c r="B91" s="4"/>
      <c r="C91" s="4"/>
    </row>
    <row r="92" spans="1:27" x14ac:dyDescent="0.25">
      <c r="A92" s="4"/>
      <c r="B92" s="4"/>
      <c r="C92" s="4"/>
    </row>
    <row r="93" spans="1:27" x14ac:dyDescent="0.25">
      <c r="A93" s="4"/>
      <c r="B93" s="4"/>
      <c r="C93" s="4"/>
    </row>
    <row r="94" spans="1:27" x14ac:dyDescent="0.25">
      <c r="A94" s="4"/>
      <c r="B94" s="4"/>
      <c r="C94" s="4"/>
    </row>
    <row r="95" spans="1:27" x14ac:dyDescent="0.25">
      <c r="A95" s="4"/>
      <c r="B95" s="4"/>
      <c r="C95" s="4"/>
    </row>
    <row r="96" spans="1:27" x14ac:dyDescent="0.25">
      <c r="A96" s="4"/>
      <c r="B96" s="4"/>
      <c r="C96" s="4"/>
    </row>
    <row r="97" spans="1:20" x14ac:dyDescent="0.25">
      <c r="A97" s="4"/>
      <c r="B97" s="4"/>
      <c r="C97" s="4"/>
    </row>
    <row r="98" spans="1:20" x14ac:dyDescent="0.25">
      <c r="A98" s="4"/>
      <c r="B98" s="4"/>
      <c r="C98" s="4"/>
    </row>
    <row r="99" spans="1:20" x14ac:dyDescent="0.25">
      <c r="A99" s="4"/>
      <c r="B99" s="4"/>
      <c r="C99" s="4"/>
    </row>
    <row r="100" spans="1:20" x14ac:dyDescent="0.25">
      <c r="A100" s="4"/>
      <c r="B100" s="4"/>
      <c r="C100" s="4"/>
    </row>
    <row r="101" spans="1:20" x14ac:dyDescent="0.25">
      <c r="A101" s="4"/>
      <c r="B101" s="4"/>
      <c r="C101" s="4"/>
    </row>
    <row r="102" spans="1:20" x14ac:dyDescent="0.25">
      <c r="A102" s="4"/>
      <c r="B102" s="4"/>
      <c r="C102" s="4"/>
    </row>
    <row r="103" spans="1:20" x14ac:dyDescent="0.25">
      <c r="A103" s="4"/>
      <c r="B103" s="4"/>
      <c r="C103" s="4"/>
    </row>
    <row r="104" spans="1:20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7"/>
    </row>
  </sheetData>
  <mergeCells count="5">
    <mergeCell ref="D55:T55"/>
    <mergeCell ref="U55:AD55"/>
    <mergeCell ref="AE55:AE56"/>
    <mergeCell ref="AF55:AO55"/>
    <mergeCell ref="AP55:AY55"/>
  </mergeCells>
  <conditionalFormatting sqref="A57:A60 A61:G62 U61:AC62 AK63:AL64 AK61:AK62 AN63:AP64 A75:XFD76 AN61:AN62 A66:AP67 A73:AQ74 AR61:AT62 AR63:AU64 AR65:AW65 AY61:XFD65 T57:T62 AD57:AI62 A63:AI65 AK65:AP65 AJ59:AJ65 AL57:AL62 AL69:AQ72 A68:AK72 AM59:AM64 AL68:AP68 AO57:AP62 AQ59:AQ68 AU57:AU62 AV57:AV64 AW58:AW64 AX60:AX65 AR66:XFD74 I62:N62 I61:J61 L61:N61 P61:S62">
    <cfRule type="expression" dxfId="31" priority="6">
      <formula>$B57&gt;0</formula>
    </cfRule>
  </conditionalFormatting>
  <conditionalFormatting sqref="H61:H62">
    <cfRule type="expression" dxfId="30" priority="5">
      <formula>$B61&gt;0</formula>
    </cfRule>
  </conditionalFormatting>
  <conditionalFormatting sqref="H58:H59">
    <cfRule type="expression" dxfId="8" priority="4">
      <formula>$B58&gt;0</formula>
    </cfRule>
  </conditionalFormatting>
  <conditionalFormatting sqref="J58:J59">
    <cfRule type="expression" dxfId="6" priority="3">
      <formula>$B58&gt;0</formula>
    </cfRule>
  </conditionalFormatting>
  <conditionalFormatting sqref="O58:O59">
    <cfRule type="expression" dxfId="3" priority="2">
      <formula>$B58&gt;0</formula>
    </cfRule>
  </conditionalFormatting>
  <conditionalFormatting sqref="O61:O62">
    <cfRule type="expression" dxfId="1" priority="1">
      <formula>$B61&gt;0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2018-03-05T20:30:49Z</dcterms:created>
  <dcterms:modified xsi:type="dcterms:W3CDTF">2018-03-06T21:52:45Z</dcterms:modified>
</cp:coreProperties>
</file>