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"/>
    </mc:Choice>
  </mc:AlternateContent>
  <bookViews>
    <workbookView xWindow="0" yWindow="21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AA13" i="1"/>
  <c r="Y17" i="1"/>
  <c r="Y18" i="1"/>
  <c r="Y19" i="1"/>
  <c r="Y20" i="1"/>
  <c r="Y21" i="1"/>
  <c r="Y22" i="1"/>
  <c r="Y23" i="1"/>
  <c r="Y13" i="1"/>
  <c r="X14" i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R14" i="1"/>
  <c r="L14" i="1"/>
  <c r="S4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15" i="1"/>
  <c r="N16" i="1"/>
  <c r="N17" i="1"/>
  <c r="N14" i="1"/>
  <c r="O14" i="1" s="1"/>
  <c r="P14" i="1" s="1"/>
  <c r="C4" i="1"/>
  <c r="C14" i="1" s="1"/>
  <c r="F14" i="1" s="1"/>
  <c r="J14" i="1" s="1"/>
  <c r="Y46" i="1" l="1"/>
  <c r="X47" i="1"/>
  <c r="Y38" i="1"/>
  <c r="Y35" i="1"/>
  <c r="Y34" i="1"/>
  <c r="Y16" i="1"/>
  <c r="Y31" i="1"/>
  <c r="Y15" i="1"/>
  <c r="Y30" i="1"/>
  <c r="Y45" i="1"/>
  <c r="Y29" i="1"/>
  <c r="Y44" i="1"/>
  <c r="Y28" i="1"/>
  <c r="Y39" i="1"/>
  <c r="Y37" i="1"/>
  <c r="Y36" i="1"/>
  <c r="Y33" i="1"/>
  <c r="Y32" i="1"/>
  <c r="Y14" i="1"/>
  <c r="Z14" i="1" s="1"/>
  <c r="Y43" i="1"/>
  <c r="Y27" i="1"/>
  <c r="Y42" i="1"/>
  <c r="Y26" i="1"/>
  <c r="Y41" i="1"/>
  <c r="Y25" i="1"/>
  <c r="Y40" i="1"/>
  <c r="Y24" i="1"/>
  <c r="T14" i="1"/>
  <c r="S14" i="1" s="1"/>
  <c r="O15" i="1"/>
  <c r="C8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Z15" i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X48" i="1"/>
  <c r="Y47" i="1"/>
  <c r="D18" i="1"/>
  <c r="G45" i="1"/>
  <c r="D51" i="1"/>
  <c r="G52" i="1"/>
  <c r="D39" i="1"/>
  <c r="D56" i="1"/>
  <c r="D59" i="1"/>
  <c r="D53" i="1"/>
  <c r="D44" i="1"/>
  <c r="G43" i="1"/>
  <c r="G55" i="1"/>
  <c r="D43" i="1"/>
  <c r="D48" i="1"/>
  <c r="G46" i="1"/>
  <c r="D60" i="1"/>
  <c r="D49" i="1"/>
  <c r="G41" i="1"/>
  <c r="G49" i="1"/>
  <c r="D40" i="1"/>
  <c r="D50" i="1"/>
  <c r="G51" i="1"/>
  <c r="D41" i="1"/>
  <c r="G40" i="1"/>
  <c r="G50" i="1"/>
  <c r="D42" i="1"/>
  <c r="G53" i="1"/>
  <c r="G39" i="1"/>
  <c r="D55" i="1"/>
  <c r="G56" i="1"/>
  <c r="D47" i="1"/>
  <c r="D54" i="1"/>
  <c r="G42" i="1"/>
  <c r="D45" i="1"/>
  <c r="D52" i="1"/>
  <c r="D46" i="1"/>
  <c r="G47" i="1"/>
  <c r="G54" i="1"/>
  <c r="D58" i="1"/>
  <c r="G48" i="1"/>
  <c r="D57" i="1"/>
  <c r="D61" i="1"/>
  <c r="G44" i="1"/>
  <c r="W14" i="1"/>
  <c r="AA14" i="1" s="1"/>
  <c r="D16" i="1"/>
  <c r="D15" i="1"/>
  <c r="D17" i="1"/>
  <c r="D20" i="1"/>
  <c r="D21" i="1"/>
  <c r="D22" i="1"/>
  <c r="D23" i="1"/>
  <c r="D19" i="1"/>
  <c r="D14" i="1"/>
  <c r="G23" i="1"/>
  <c r="D38" i="1"/>
  <c r="G24" i="1"/>
  <c r="G14" i="1"/>
  <c r="G26" i="1"/>
  <c r="D25" i="1"/>
  <c r="G29" i="1"/>
  <c r="D28" i="1"/>
  <c r="G31" i="1"/>
  <c r="G16" i="1"/>
  <c r="D31" i="1"/>
  <c r="G17" i="1"/>
  <c r="G18" i="1"/>
  <c r="D33" i="1"/>
  <c r="G19" i="1"/>
  <c r="G36" i="1"/>
  <c r="G37" i="1"/>
  <c r="G25" i="1"/>
  <c r="D24" i="1"/>
  <c r="G30" i="1"/>
  <c r="D29" i="1"/>
  <c r="G15" i="1"/>
  <c r="D30" i="1"/>
  <c r="G32" i="1"/>
  <c r="G33" i="1"/>
  <c r="D32" i="1"/>
  <c r="G34" i="1"/>
  <c r="G35" i="1"/>
  <c r="D34" i="1"/>
  <c r="G20" i="1"/>
  <c r="D35" i="1"/>
  <c r="D36" i="1"/>
  <c r="G22" i="1"/>
  <c r="G21" i="1"/>
  <c r="G27" i="1"/>
  <c r="D26" i="1"/>
  <c r="G28" i="1"/>
  <c r="D27" i="1"/>
  <c r="G38" i="1"/>
  <c r="D37" i="1"/>
  <c r="Z47" i="1" l="1"/>
  <c r="X49" i="1"/>
  <c r="Y48" i="1"/>
  <c r="Z48" i="1" s="1"/>
  <c r="R15" i="1"/>
  <c r="T15" i="1" s="1"/>
  <c r="W15" i="1" s="1"/>
  <c r="H14" i="1"/>
  <c r="E14" i="1"/>
  <c r="Y49" i="1" l="1"/>
  <c r="Z49" i="1" s="1"/>
  <c r="X50" i="1"/>
  <c r="R16" i="1"/>
  <c r="T16" i="1" s="1"/>
  <c r="AA15" i="1"/>
  <c r="S15" i="1"/>
  <c r="S16" i="1"/>
  <c r="W16" i="1"/>
  <c r="K14" i="1"/>
  <c r="I14" i="1"/>
  <c r="R17" i="1" l="1"/>
  <c r="T17" i="1" s="1"/>
  <c r="AA16" i="1"/>
  <c r="Y50" i="1"/>
  <c r="Z50" i="1" s="1"/>
  <c r="X51" i="1"/>
  <c r="W17" i="1"/>
  <c r="S17" i="1"/>
  <c r="H15" i="1"/>
  <c r="C15" i="1"/>
  <c r="F15" i="1" s="1"/>
  <c r="R18" i="1" l="1"/>
  <c r="T18" i="1" s="1"/>
  <c r="AA17" i="1"/>
  <c r="X52" i="1"/>
  <c r="Y51" i="1"/>
  <c r="Z51" i="1" s="1"/>
  <c r="W18" i="1"/>
  <c r="S18" i="1"/>
  <c r="E15" i="1"/>
  <c r="L15" i="1" s="1"/>
  <c r="P15" i="1" s="1"/>
  <c r="J15" i="1"/>
  <c r="R19" i="1" l="1"/>
  <c r="T19" i="1" s="1"/>
  <c r="AA18" i="1"/>
  <c r="Y52" i="1"/>
  <c r="Z52" i="1" s="1"/>
  <c r="X53" i="1"/>
  <c r="W19" i="1"/>
  <c r="S19" i="1"/>
  <c r="K15" i="1"/>
  <c r="I15" i="1"/>
  <c r="R20" i="1" l="1"/>
  <c r="T20" i="1" s="1"/>
  <c r="AA19" i="1"/>
  <c r="X54" i="1"/>
  <c r="Y53" i="1"/>
  <c r="Z53" i="1" s="1"/>
  <c r="W20" i="1"/>
  <c r="S20" i="1"/>
  <c r="H16" i="1"/>
  <c r="C16" i="1"/>
  <c r="F16" i="1" s="1"/>
  <c r="R21" i="1" l="1"/>
  <c r="T21" i="1" s="1"/>
  <c r="AA20" i="1"/>
  <c r="X55" i="1"/>
  <c r="Y54" i="1"/>
  <c r="Z54" i="1" s="1"/>
  <c r="W21" i="1"/>
  <c r="S21" i="1"/>
  <c r="E16" i="1"/>
  <c r="J16" i="1"/>
  <c r="R22" i="1" l="1"/>
  <c r="T22" i="1" s="1"/>
  <c r="AA21" i="1"/>
  <c r="Y55" i="1"/>
  <c r="Z55" i="1" s="1"/>
  <c r="X56" i="1"/>
  <c r="I16" i="1"/>
  <c r="L16" i="1"/>
  <c r="P16" i="1" s="1"/>
  <c r="W22" i="1"/>
  <c r="S22" i="1"/>
  <c r="K16" i="1"/>
  <c r="H17" i="1" s="1"/>
  <c r="R23" i="1" l="1"/>
  <c r="T23" i="1" s="1"/>
  <c r="AA22" i="1"/>
  <c r="Y56" i="1"/>
  <c r="Z56" i="1" s="1"/>
  <c r="X57" i="1"/>
  <c r="W23" i="1"/>
  <c r="S23" i="1"/>
  <c r="C17" i="1"/>
  <c r="F17" i="1" s="1"/>
  <c r="E17" i="1" s="1"/>
  <c r="L17" i="1" s="1"/>
  <c r="R24" i="1" l="1"/>
  <c r="T24" i="1" s="1"/>
  <c r="S24" i="1" s="1"/>
  <c r="AA23" i="1"/>
  <c r="X58" i="1"/>
  <c r="X59" i="1" s="1"/>
  <c r="Y57" i="1"/>
  <c r="Z57" i="1" s="1"/>
  <c r="I17" i="1"/>
  <c r="K17" i="1"/>
  <c r="C18" i="1" s="1"/>
  <c r="F18" i="1" s="1"/>
  <c r="W24" i="1"/>
  <c r="J17" i="1"/>
  <c r="P17" i="1" s="1"/>
  <c r="Y59" i="1" l="1"/>
  <c r="X60" i="1"/>
  <c r="R25" i="1"/>
  <c r="T25" i="1" s="1"/>
  <c r="AA24" i="1"/>
  <c r="Y58" i="1"/>
  <c r="Z58" i="1" s="1"/>
  <c r="H18" i="1"/>
  <c r="W25" i="1"/>
  <c r="S25" i="1"/>
  <c r="E18" i="1"/>
  <c r="L18" i="1" s="1"/>
  <c r="J18" i="1"/>
  <c r="P18" i="1" l="1"/>
  <c r="X61" i="1"/>
  <c r="Y61" i="1" s="1"/>
  <c r="Y60" i="1"/>
  <c r="Z60" i="1" s="1"/>
  <c r="Z61" i="1" s="1"/>
  <c r="Z59" i="1"/>
  <c r="R26" i="1"/>
  <c r="T26" i="1" s="1"/>
  <c r="AA25" i="1"/>
  <c r="W26" i="1"/>
  <c r="S26" i="1"/>
  <c r="K18" i="1"/>
  <c r="C19" i="1" s="1"/>
  <c r="I18" i="1"/>
  <c r="R27" i="1" l="1"/>
  <c r="T27" i="1" s="1"/>
  <c r="AA26" i="1"/>
  <c r="W27" i="1"/>
  <c r="S27" i="1"/>
  <c r="H19" i="1"/>
  <c r="F19" i="1"/>
  <c r="R28" i="1" l="1"/>
  <c r="T28" i="1" s="1"/>
  <c r="AA27" i="1"/>
  <c r="W28" i="1"/>
  <c r="S28" i="1"/>
  <c r="E19" i="1"/>
  <c r="L19" i="1" s="1"/>
  <c r="J19" i="1"/>
  <c r="P19" i="1" l="1"/>
  <c r="R29" i="1"/>
  <c r="T29" i="1" s="1"/>
  <c r="AA28" i="1"/>
  <c r="W29" i="1"/>
  <c r="S29" i="1"/>
  <c r="K19" i="1"/>
  <c r="C20" i="1" s="1"/>
  <c r="I19" i="1"/>
  <c r="R30" i="1" l="1"/>
  <c r="T30" i="1" s="1"/>
  <c r="AA29" i="1"/>
  <c r="W30" i="1"/>
  <c r="S30" i="1"/>
  <c r="H20" i="1"/>
  <c r="F20" i="1"/>
  <c r="R31" i="1" l="1"/>
  <c r="T31" i="1" s="1"/>
  <c r="AA30" i="1"/>
  <c r="W31" i="1"/>
  <c r="S31" i="1"/>
  <c r="E20" i="1"/>
  <c r="L20" i="1" s="1"/>
  <c r="J20" i="1"/>
  <c r="P20" i="1" l="1"/>
  <c r="R32" i="1"/>
  <c r="T32" i="1" s="1"/>
  <c r="AA31" i="1"/>
  <c r="W32" i="1"/>
  <c r="S32" i="1"/>
  <c r="K20" i="1"/>
  <c r="I20" i="1"/>
  <c r="C21" i="1"/>
  <c r="R33" i="1" l="1"/>
  <c r="T33" i="1" s="1"/>
  <c r="AA32" i="1"/>
  <c r="W33" i="1"/>
  <c r="S33" i="1"/>
  <c r="H21" i="1"/>
  <c r="F21" i="1"/>
  <c r="R34" i="1" l="1"/>
  <c r="T34" i="1" s="1"/>
  <c r="AA33" i="1"/>
  <c r="W34" i="1"/>
  <c r="S34" i="1"/>
  <c r="J21" i="1"/>
  <c r="E21" i="1"/>
  <c r="L21" i="1" s="1"/>
  <c r="P21" i="1" s="1"/>
  <c r="R35" i="1" l="1"/>
  <c r="T35" i="1" s="1"/>
  <c r="AA34" i="1"/>
  <c r="W35" i="1"/>
  <c r="S35" i="1"/>
  <c r="K21" i="1"/>
  <c r="H22" i="1" s="1"/>
  <c r="I21" i="1"/>
  <c r="R36" i="1" l="1"/>
  <c r="T36" i="1" s="1"/>
  <c r="AA35" i="1"/>
  <c r="W36" i="1"/>
  <c r="S36" i="1"/>
  <c r="C22" i="1"/>
  <c r="F22" i="1" s="1"/>
  <c r="R37" i="1" l="1"/>
  <c r="T37" i="1" s="1"/>
  <c r="AA36" i="1"/>
  <c r="W37" i="1"/>
  <c r="S37" i="1"/>
  <c r="J22" i="1"/>
  <c r="E22" i="1"/>
  <c r="L22" i="1" s="1"/>
  <c r="P22" i="1" s="1"/>
  <c r="R38" i="1" l="1"/>
  <c r="T38" i="1" s="1"/>
  <c r="W38" i="1" s="1"/>
  <c r="AA37" i="1"/>
  <c r="K22" i="1"/>
  <c r="C23" i="1" s="1"/>
  <c r="I22" i="1"/>
  <c r="R39" i="1" l="1"/>
  <c r="T39" i="1" s="1"/>
  <c r="W39" i="1" s="1"/>
  <c r="AA38" i="1"/>
  <c r="S38" i="1"/>
  <c r="H23" i="1"/>
  <c r="F23" i="1"/>
  <c r="R40" i="1" l="1"/>
  <c r="T40" i="1" s="1"/>
  <c r="S40" i="1" s="1"/>
  <c r="AA39" i="1"/>
  <c r="S39" i="1"/>
  <c r="J23" i="1"/>
  <c r="E23" i="1"/>
  <c r="L23" i="1" s="1"/>
  <c r="P23" i="1" s="1"/>
  <c r="W40" i="1" l="1"/>
  <c r="K23" i="1"/>
  <c r="C24" i="1" s="1"/>
  <c r="I23" i="1"/>
  <c r="R41" i="1" l="1"/>
  <c r="T41" i="1" s="1"/>
  <c r="AA40" i="1"/>
  <c r="H24" i="1"/>
  <c r="F24" i="1"/>
  <c r="S41" i="1" l="1"/>
  <c r="W41" i="1"/>
  <c r="E24" i="1"/>
  <c r="L24" i="1" s="1"/>
  <c r="J24" i="1"/>
  <c r="P24" i="1" l="1"/>
  <c r="R42" i="1"/>
  <c r="T42" i="1" s="1"/>
  <c r="AA41" i="1"/>
  <c r="K24" i="1"/>
  <c r="C25" i="1" s="1"/>
  <c r="I24" i="1"/>
  <c r="W42" i="1" l="1"/>
  <c r="S42" i="1"/>
  <c r="H25" i="1"/>
  <c r="F25" i="1"/>
  <c r="R43" i="1" l="1"/>
  <c r="T43" i="1" s="1"/>
  <c r="AA42" i="1"/>
  <c r="J25" i="1"/>
  <c r="E25" i="1"/>
  <c r="L25" i="1" s="1"/>
  <c r="P25" i="1" s="1"/>
  <c r="S43" i="1" l="1"/>
  <c r="W43" i="1"/>
  <c r="K25" i="1"/>
  <c r="C26" i="1" s="1"/>
  <c r="I25" i="1"/>
  <c r="R44" i="1" l="1"/>
  <c r="T44" i="1" s="1"/>
  <c r="AA43" i="1"/>
  <c r="H26" i="1"/>
  <c r="F26" i="1"/>
  <c r="W44" i="1" l="1"/>
  <c r="S44" i="1"/>
  <c r="E26" i="1"/>
  <c r="L26" i="1" s="1"/>
  <c r="J26" i="1"/>
  <c r="P26" i="1" l="1"/>
  <c r="R45" i="1"/>
  <c r="T45" i="1" s="1"/>
  <c r="AA44" i="1"/>
  <c r="K26" i="1"/>
  <c r="H27" i="1" s="1"/>
  <c r="I26" i="1"/>
  <c r="W45" i="1" l="1"/>
  <c r="S45" i="1"/>
  <c r="C27" i="1"/>
  <c r="F27" i="1" s="1"/>
  <c r="R46" i="1" l="1"/>
  <c r="T46" i="1" s="1"/>
  <c r="AA45" i="1"/>
  <c r="E27" i="1"/>
  <c r="L27" i="1" s="1"/>
  <c r="J27" i="1"/>
  <c r="P27" i="1" l="1"/>
  <c r="W46" i="1"/>
  <c r="S46" i="1"/>
  <c r="K27" i="1"/>
  <c r="I27" i="1"/>
  <c r="R47" i="1" l="1"/>
  <c r="T47" i="1" s="1"/>
  <c r="AA46" i="1"/>
  <c r="C28" i="1"/>
  <c r="F28" i="1" s="1"/>
  <c r="H28" i="1"/>
  <c r="S47" i="1" l="1"/>
  <c r="W47" i="1"/>
  <c r="E28" i="1"/>
  <c r="J28" i="1"/>
  <c r="R48" i="1" l="1"/>
  <c r="T48" i="1" s="1"/>
  <c r="AA47" i="1"/>
  <c r="K28" i="1"/>
  <c r="H29" i="1" s="1"/>
  <c r="L28" i="1"/>
  <c r="P28" i="1" s="1"/>
  <c r="I28" i="1"/>
  <c r="S48" i="1" l="1"/>
  <c r="W48" i="1"/>
  <c r="C29" i="1"/>
  <c r="F29" i="1" s="1"/>
  <c r="R49" i="1" l="1"/>
  <c r="T49" i="1" s="1"/>
  <c r="AA48" i="1"/>
  <c r="E29" i="1"/>
  <c r="L29" i="1" s="1"/>
  <c r="J29" i="1"/>
  <c r="P29" i="1" l="1"/>
  <c r="W49" i="1"/>
  <c r="S49" i="1"/>
  <c r="K29" i="1"/>
  <c r="C30" i="1" s="1"/>
  <c r="I29" i="1"/>
  <c r="R50" i="1" l="1"/>
  <c r="T50" i="1" s="1"/>
  <c r="AA49" i="1"/>
  <c r="H30" i="1"/>
  <c r="F30" i="1"/>
  <c r="S50" i="1" l="1"/>
  <c r="W50" i="1"/>
  <c r="E30" i="1"/>
  <c r="L30" i="1" s="1"/>
  <c r="P30" i="1" s="1"/>
  <c r="J30" i="1"/>
  <c r="AA50" i="1" l="1"/>
  <c r="R51" i="1"/>
  <c r="T51" i="1" s="1"/>
  <c r="K30" i="1"/>
  <c r="C31" i="1" s="1"/>
  <c r="I30" i="1"/>
  <c r="S51" i="1" l="1"/>
  <c r="W51" i="1"/>
  <c r="H31" i="1"/>
  <c r="F31" i="1"/>
  <c r="R52" i="1" l="1"/>
  <c r="T52" i="1" s="1"/>
  <c r="AA51" i="1"/>
  <c r="E31" i="1"/>
  <c r="L31" i="1" s="1"/>
  <c r="J31" i="1"/>
  <c r="P31" i="1" l="1"/>
  <c r="W52" i="1"/>
  <c r="S52" i="1"/>
  <c r="K31" i="1"/>
  <c r="C32" i="1" s="1"/>
  <c r="I31" i="1"/>
  <c r="R53" i="1" l="1"/>
  <c r="T53" i="1" s="1"/>
  <c r="AA52" i="1"/>
  <c r="H32" i="1"/>
  <c r="F32" i="1"/>
  <c r="W53" i="1" l="1"/>
  <c r="S53" i="1"/>
  <c r="E32" i="1"/>
  <c r="L32" i="1" s="1"/>
  <c r="J32" i="1"/>
  <c r="P32" i="1" l="1"/>
  <c r="AA53" i="1"/>
  <c r="R54" i="1"/>
  <c r="T54" i="1" s="1"/>
  <c r="K32" i="1"/>
  <c r="H33" i="1" s="1"/>
  <c r="I32" i="1"/>
  <c r="S54" i="1" l="1"/>
  <c r="W54" i="1"/>
  <c r="C33" i="1"/>
  <c r="F33" i="1" s="1"/>
  <c r="AA54" i="1" l="1"/>
  <c r="R55" i="1"/>
  <c r="T55" i="1" s="1"/>
  <c r="E33" i="1"/>
  <c r="L33" i="1" s="1"/>
  <c r="J33" i="1"/>
  <c r="P33" i="1" l="1"/>
  <c r="W55" i="1"/>
  <c r="S55" i="1"/>
  <c r="K33" i="1"/>
  <c r="I33" i="1"/>
  <c r="R56" i="1" l="1"/>
  <c r="T56" i="1" s="1"/>
  <c r="AA55" i="1"/>
  <c r="C34" i="1"/>
  <c r="F34" i="1" s="1"/>
  <c r="H34" i="1"/>
  <c r="S56" i="1" l="1"/>
  <c r="W56" i="1"/>
  <c r="J34" i="1"/>
  <c r="E34" i="1"/>
  <c r="L34" i="1" s="1"/>
  <c r="P34" i="1" s="1"/>
  <c r="AA56" i="1" l="1"/>
  <c r="R57" i="1"/>
  <c r="T57" i="1" s="1"/>
  <c r="K34" i="1"/>
  <c r="C35" i="1" s="1"/>
  <c r="I34" i="1"/>
  <c r="S57" i="1" l="1"/>
  <c r="W57" i="1"/>
  <c r="H35" i="1"/>
  <c r="F35" i="1"/>
  <c r="R58" i="1" l="1"/>
  <c r="T58" i="1" s="1"/>
  <c r="AA57" i="1"/>
  <c r="E35" i="1"/>
  <c r="L35" i="1" s="1"/>
  <c r="J35" i="1"/>
  <c r="P35" i="1" l="1"/>
  <c r="S58" i="1"/>
  <c r="W58" i="1"/>
  <c r="R59" i="1" s="1"/>
  <c r="T59" i="1" s="1"/>
  <c r="K35" i="1"/>
  <c r="C36" i="1" s="1"/>
  <c r="I35" i="1"/>
  <c r="S59" i="1" l="1"/>
  <c r="W59" i="1"/>
  <c r="AA58" i="1"/>
  <c r="H36" i="1"/>
  <c r="F36" i="1"/>
  <c r="AA59" i="1" l="1"/>
  <c r="R60" i="1"/>
  <c r="T60" i="1" s="1"/>
  <c r="E36" i="1"/>
  <c r="L36" i="1" s="1"/>
  <c r="J36" i="1"/>
  <c r="P36" i="1" l="1"/>
  <c r="S60" i="1"/>
  <c r="W60" i="1"/>
  <c r="K36" i="1"/>
  <c r="C37" i="1" s="1"/>
  <c r="I36" i="1"/>
  <c r="R61" i="1" l="1"/>
  <c r="T61" i="1" s="1"/>
  <c r="AA60" i="1"/>
  <c r="H37" i="1"/>
  <c r="F37" i="1"/>
  <c r="S61" i="1" l="1"/>
  <c r="W61" i="1"/>
  <c r="AA61" i="1" s="1"/>
  <c r="E37" i="1"/>
  <c r="L37" i="1" s="1"/>
  <c r="J37" i="1"/>
  <c r="P37" i="1" l="1"/>
  <c r="K37" i="1"/>
  <c r="I37" i="1"/>
  <c r="C38" i="1" l="1"/>
  <c r="F38" i="1" s="1"/>
  <c r="H38" i="1"/>
  <c r="E38" i="1" l="1"/>
  <c r="L38" i="1" s="1"/>
  <c r="J38" i="1"/>
  <c r="P38" i="1" l="1"/>
  <c r="K38" i="1"/>
  <c r="I38" i="1"/>
  <c r="C39" i="1" l="1"/>
  <c r="F39" i="1" s="1"/>
  <c r="H39" i="1"/>
  <c r="J39" i="1" l="1"/>
  <c r="E39" i="1"/>
  <c r="I39" i="1" l="1"/>
  <c r="L39" i="1"/>
  <c r="P39" i="1" s="1"/>
  <c r="K39" i="1"/>
  <c r="C40" i="1" l="1"/>
  <c r="F40" i="1" s="1"/>
  <c r="H40" i="1"/>
  <c r="J40" i="1" l="1"/>
  <c r="E40" i="1"/>
  <c r="I40" i="1" l="1"/>
  <c r="L40" i="1"/>
  <c r="P40" i="1" s="1"/>
  <c r="K40" i="1"/>
  <c r="C41" i="1" l="1"/>
  <c r="F41" i="1" s="1"/>
  <c r="H41" i="1"/>
  <c r="J41" i="1" l="1"/>
  <c r="E41" i="1"/>
  <c r="K41" i="1" s="1"/>
  <c r="C42" i="1" l="1"/>
  <c r="F42" i="1" s="1"/>
  <c r="H42" i="1"/>
  <c r="I41" i="1"/>
  <c r="L41" i="1"/>
  <c r="P41" i="1" s="1"/>
  <c r="J42" i="1" l="1"/>
  <c r="E42" i="1"/>
  <c r="L42" i="1"/>
  <c r="P42" i="1" s="1"/>
  <c r="I42" i="1" l="1"/>
  <c r="K42" i="1"/>
  <c r="C43" i="1" l="1"/>
  <c r="F43" i="1" s="1"/>
  <c r="H43" i="1"/>
  <c r="J43" i="1" l="1"/>
  <c r="E43" i="1"/>
  <c r="K43" i="1" s="1"/>
  <c r="H44" i="1" l="1"/>
  <c r="C44" i="1"/>
  <c r="F44" i="1" s="1"/>
  <c r="I43" i="1"/>
  <c r="L43" i="1"/>
  <c r="P43" i="1" s="1"/>
  <c r="J44" i="1" l="1"/>
  <c r="E44" i="1"/>
  <c r="I44" i="1" s="1"/>
  <c r="K44" i="1" l="1"/>
  <c r="H45" i="1" s="1"/>
  <c r="L44" i="1"/>
  <c r="P44" i="1" s="1"/>
  <c r="C45" i="1" l="1"/>
  <c r="F45" i="1" s="1"/>
  <c r="J45" i="1" s="1"/>
  <c r="E45" i="1" l="1"/>
  <c r="K45" i="1" s="1"/>
  <c r="H46" i="1" s="1"/>
  <c r="I45" i="1"/>
  <c r="L45" i="1"/>
  <c r="P45" i="1" s="1"/>
  <c r="C46" i="1"/>
  <c r="F46" i="1" s="1"/>
  <c r="J46" i="1" l="1"/>
  <c r="E46" i="1"/>
  <c r="L46" i="1"/>
  <c r="P46" i="1" s="1"/>
  <c r="I46" i="1" l="1"/>
  <c r="K46" i="1"/>
  <c r="H47" i="1" l="1"/>
  <c r="C47" i="1"/>
  <c r="F47" i="1" s="1"/>
  <c r="J47" i="1" l="1"/>
  <c r="E47" i="1"/>
  <c r="I47" i="1" l="1"/>
  <c r="L47" i="1"/>
  <c r="P47" i="1" s="1"/>
  <c r="K47" i="1"/>
  <c r="C48" i="1" l="1"/>
  <c r="F48" i="1" s="1"/>
  <c r="H48" i="1"/>
  <c r="J48" i="1" l="1"/>
  <c r="E48" i="1"/>
  <c r="K48" i="1" s="1"/>
  <c r="C49" i="1" l="1"/>
  <c r="F49" i="1" s="1"/>
  <c r="H49" i="1"/>
  <c r="I48" i="1"/>
  <c r="L48" i="1"/>
  <c r="P48" i="1" s="1"/>
  <c r="J49" i="1" l="1"/>
  <c r="E49" i="1"/>
  <c r="I49" i="1" s="1"/>
  <c r="K49" i="1"/>
  <c r="L49" i="1" l="1"/>
  <c r="P49" i="1" s="1"/>
  <c r="H50" i="1"/>
  <c r="C50" i="1"/>
  <c r="F50" i="1" s="1"/>
  <c r="J50" i="1" l="1"/>
  <c r="E50" i="1"/>
  <c r="K50" i="1" s="1"/>
  <c r="H51" i="1" l="1"/>
  <c r="C51" i="1"/>
  <c r="F51" i="1" s="1"/>
  <c r="I50" i="1"/>
  <c r="L50" i="1"/>
  <c r="P50" i="1" s="1"/>
  <c r="J51" i="1" l="1"/>
  <c r="E51" i="1"/>
  <c r="I51" i="1" s="1"/>
  <c r="K51" i="1" l="1"/>
  <c r="C52" i="1" s="1"/>
  <c r="F52" i="1" s="1"/>
  <c r="L51" i="1"/>
  <c r="P51" i="1" s="1"/>
  <c r="H52" i="1" l="1"/>
  <c r="J52" i="1"/>
  <c r="E52" i="1"/>
  <c r="I52" i="1" l="1"/>
  <c r="K52" i="1"/>
  <c r="L52" i="1"/>
  <c r="P52" i="1" s="1"/>
  <c r="C53" i="1" l="1"/>
  <c r="F53" i="1" s="1"/>
  <c r="H53" i="1"/>
  <c r="J53" i="1" l="1"/>
  <c r="E53" i="1"/>
  <c r="K53" i="1" s="1"/>
  <c r="I53" i="1" l="1"/>
  <c r="L53" i="1"/>
  <c r="P53" i="1" s="1"/>
  <c r="H54" i="1"/>
  <c r="C54" i="1"/>
  <c r="F54" i="1" s="1"/>
  <c r="J54" i="1" l="1"/>
  <c r="E54" i="1"/>
  <c r="L54" i="1" s="1"/>
  <c r="P54" i="1" s="1"/>
  <c r="I54" i="1" l="1"/>
  <c r="K54" i="1"/>
  <c r="C55" i="1" l="1"/>
  <c r="F55" i="1" s="1"/>
  <c r="H55" i="1"/>
  <c r="J55" i="1" l="1"/>
  <c r="E55" i="1"/>
  <c r="K55" i="1"/>
  <c r="C56" i="1" l="1"/>
  <c r="F56" i="1" s="1"/>
  <c r="H56" i="1"/>
  <c r="I55" i="1"/>
  <c r="L55" i="1"/>
  <c r="P55" i="1" s="1"/>
  <c r="J56" i="1" l="1"/>
  <c r="E56" i="1"/>
  <c r="I56" i="1" s="1"/>
  <c r="L56" i="1" l="1"/>
  <c r="P56" i="1" s="1"/>
  <c r="K56" i="1"/>
  <c r="H57" i="1" l="1"/>
  <c r="C57" i="1"/>
  <c r="F57" i="1" s="1"/>
  <c r="J57" i="1" l="1"/>
  <c r="E57" i="1"/>
  <c r="I57" i="1" l="1"/>
  <c r="L57" i="1"/>
  <c r="P57" i="1" s="1"/>
  <c r="K57" i="1"/>
  <c r="H58" i="1" l="1"/>
  <c r="C58" i="1"/>
  <c r="F58" i="1" s="1"/>
  <c r="J58" i="1" l="1"/>
  <c r="E58" i="1"/>
  <c r="K58" i="1" s="1"/>
  <c r="I58" i="1" l="1"/>
  <c r="L58" i="1"/>
  <c r="P58" i="1" s="1"/>
  <c r="H59" i="1"/>
  <c r="K59" i="1"/>
  <c r="L60" i="1"/>
  <c r="C59" i="1"/>
  <c r="F59" i="1" s="1"/>
  <c r="J59" i="1" l="1"/>
  <c r="E59" i="1"/>
  <c r="I59" i="1" s="1"/>
  <c r="C60" i="1"/>
  <c r="F60" i="1" s="1"/>
  <c r="K60" i="1"/>
  <c r="H60" i="1"/>
  <c r="L61" i="1"/>
  <c r="L59" i="1" l="1"/>
  <c r="P59" i="1" s="1"/>
  <c r="H61" i="1"/>
  <c r="K61" i="1"/>
  <c r="C61" i="1"/>
  <c r="F61" i="1" s="1"/>
  <c r="J60" i="1"/>
  <c r="P60" i="1" s="1"/>
  <c r="E60" i="1"/>
  <c r="I60" i="1" s="1"/>
  <c r="J61" i="1" l="1"/>
  <c r="P61" i="1" s="1"/>
  <c r="E61" i="1"/>
  <c r="I61" i="1" s="1"/>
</calcChain>
</file>

<file path=xl/sharedStrings.xml><?xml version="1.0" encoding="utf-8"?>
<sst xmlns="http://schemas.openxmlformats.org/spreadsheetml/2006/main" count="43" uniqueCount="36">
  <si>
    <t>Price</t>
  </si>
  <si>
    <t>Down</t>
  </si>
  <si>
    <t>Loan</t>
  </si>
  <si>
    <t>Rate</t>
  </si>
  <si>
    <t>Months</t>
  </si>
  <si>
    <t>Payment</t>
  </si>
  <si>
    <t>Date</t>
  </si>
  <si>
    <t>Beginning Balance</t>
  </si>
  <si>
    <t>Principal</t>
  </si>
  <si>
    <t>Interest</t>
  </si>
  <si>
    <t>Extra Payment</t>
  </si>
  <si>
    <t>Total Payment</t>
  </si>
  <si>
    <t>Cum. Principal</t>
  </si>
  <si>
    <t>Cum. Interest</t>
  </si>
  <si>
    <t>Ending Loan Balance</t>
  </si>
  <si>
    <t>Month</t>
  </si>
  <si>
    <t>with loan</t>
  </si>
  <si>
    <t>per month</t>
  </si>
  <si>
    <t>without loan</t>
  </si>
  <si>
    <t>Betterment</t>
  </si>
  <si>
    <t>Insurance</t>
  </si>
  <si>
    <t>Get the WRX</t>
  </si>
  <si>
    <t>Wait</t>
  </si>
  <si>
    <t>ror</t>
  </si>
  <si>
    <t>B Starting Balance</t>
  </si>
  <si>
    <t>B after interest</t>
  </si>
  <si>
    <t>B Contrib</t>
  </si>
  <si>
    <t>B Ending Balance</t>
  </si>
  <si>
    <t>B Interest</t>
  </si>
  <si>
    <t>Buy Car</t>
  </si>
  <si>
    <t>Net Worth</t>
  </si>
  <si>
    <t>Loan Equity</t>
  </si>
  <si>
    <t>sum insurance</t>
  </si>
  <si>
    <t>Car Value</t>
  </si>
  <si>
    <t>USAA</t>
  </si>
  <si>
    <t>GEICO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</si>
</sst>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5">
    <xf numFmtId="0" fontId="0" fillId="0" borderId="0" xfId="0"/>
    <xf numFmtId="10" fontId="0" fillId="0" borderId="0" xfId="0" applyNumberFormat="1"/>
    <xf numFmtId="0" fontId="1" fillId="2" borderId="1" xfId="1"/>
    <xf numFmtId="10" fontId="1" fillId="2" borderId="1" xfId="1" applyNumberFormat="1"/>
    <xf numFmtId="4" fontId="1" fillId="2" borderId="1" xfId="1" applyNumberFormat="1"/>
    <xf numFmtId="4" fontId="2" fillId="3" borderId="1" xfId="2" applyNumberFormat="1"/>
    <xf numFmtId="4" fontId="0" fillId="0" borderId="0" xfId="0" applyNumberForma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0" fontId="0" fillId="0" borderId="5" xfId="0" applyBorder="1"/>
    <xf numFmtId="17" fontId="0" fillId="0" borderId="0" xfId="0" applyNumberFormat="1" applyBorder="1"/>
    <xf numFmtId="4" fontId="0" fillId="0" borderId="0" xfId="0" applyNumberFormat="1" applyBorder="1"/>
    <xf numFmtId="4" fontId="0" fillId="0" borderId="6" xfId="0" applyNumberFormat="1" applyBorder="1"/>
    <xf numFmtId="0" fontId="3" fillId="0" borderId="4" xfId="0" applyFont="1" applyBorder="1" applyAlignment="1">
      <alignment wrapText="1"/>
    </xf>
    <xf numFmtId="4" fontId="0" fillId="0" borderId="5" xfId="0" applyNumberFormat="1" applyBorder="1"/>
    <xf numFmtId="0" fontId="3" fillId="0" borderId="7" xfId="0" applyFont="1" applyBorder="1" applyAlignment="1">
      <alignment wrapText="1"/>
    </xf>
    <xf numFmtId="4" fontId="0" fillId="0" borderId="8" xfId="0" applyNumberFormat="1" applyBorder="1"/>
    <xf numFmtId="4" fontId="1" fillId="2" borderId="0" xfId="1" applyNumberFormat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4" fontId="0" fillId="0" borderId="0" xfId="0" applyNumberFormat="1" applyFont="1" applyBorder="1" applyAlignment="1">
      <alignment wrapText="1"/>
    </xf>
    <xf numFmtId="4" fontId="0" fillId="0" borderId="6" xfId="0" applyNumberFormat="1" applyFont="1" applyBorder="1" applyAlignment="1">
      <alignment wrapText="1"/>
    </xf>
    <xf numFmtId="0" fontId="0" fillId="0" borderId="6" xfId="0" applyFont="1" applyBorder="1" applyAlignment="1">
      <alignment wrapText="1"/>
    </xf>
    <xf numFmtId="4" fontId="0" fillId="0" borderId="6" xfId="0" applyNumberFormat="1" applyFont="1" applyBorder="1"/>
    <xf numFmtId="0" fontId="0" fillId="0" borderId="0" xfId="0" applyFont="1" applyAlignment="1">
      <alignment wrapText="1"/>
    </xf>
    <xf numFmtId="4" fontId="0" fillId="0" borderId="5" xfId="0" applyNumberFormat="1" applyFont="1" applyBorder="1" applyAlignment="1">
      <alignment wrapText="1"/>
    </xf>
    <xf numFmtId="4" fontId="0" fillId="0" borderId="8" xfId="0" applyNumberFormat="1" applyFont="1" applyBorder="1" applyAlignment="1">
      <alignment wrapText="1"/>
    </xf>
    <xf numFmtId="4" fontId="0" fillId="0" borderId="0" xfId="0" applyNumberFormat="1" applyFont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" fontId="2" fillId="3" borderId="12" xfId="2" applyNumberFormat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abSelected="1" workbookViewId="0">
      <pane ySplit="12" topLeftCell="A37" activePane="bottomLeft" state="frozen"/>
      <selection pane="bottomLeft" activeCell="P55" sqref="P55"/>
    </sheetView>
  </sheetViews>
  <sheetFormatPr defaultRowHeight="15" x14ac:dyDescent="0.25"/>
  <cols>
    <col min="3" max="3" width="17.42578125" bestFit="1" customWidth="1"/>
    <col min="5" max="6" width="9.140625" customWidth="1"/>
    <col min="8" max="8" width="12.28515625" hidden="1" customWidth="1"/>
    <col min="9" max="9" width="9.140625" hidden="1" customWidth="1"/>
    <col min="10" max="10" width="9.140625" customWidth="1"/>
    <col min="11" max="11" width="12.7109375" hidden="1" customWidth="1"/>
    <col min="12" max="12" width="12.7109375" customWidth="1"/>
    <col min="13" max="13" width="12.140625" customWidth="1"/>
    <col min="14" max="15" width="9.42578125" customWidth="1"/>
    <col min="16" max="16" width="9.85546875" bestFit="1" customWidth="1"/>
    <col min="17" max="17" width="12.28515625" bestFit="1" customWidth="1"/>
    <col min="18" max="18" width="12.5703125" customWidth="1"/>
    <col min="25" max="25" width="9.85546875" customWidth="1"/>
    <col min="26" max="26" width="10.5703125" customWidth="1"/>
  </cols>
  <sheetData>
    <row r="1" spans="1:37" x14ac:dyDescent="0.25">
      <c r="W1" t="s">
        <v>34</v>
      </c>
      <c r="X1" t="s">
        <v>35</v>
      </c>
    </row>
    <row r="2" spans="1:37" x14ac:dyDescent="0.25">
      <c r="B2" t="s">
        <v>0</v>
      </c>
      <c r="C2" s="4">
        <v>8500</v>
      </c>
      <c r="Q2" t="s">
        <v>16</v>
      </c>
      <c r="R2" s="6">
        <v>62</v>
      </c>
      <c r="S2" t="s">
        <v>17</v>
      </c>
      <c r="W2" s="14">
        <v>76.7</v>
      </c>
      <c r="X2" s="14">
        <v>62</v>
      </c>
      <c r="Y2" t="s">
        <v>16</v>
      </c>
    </row>
    <row r="3" spans="1:37" x14ac:dyDescent="0.25">
      <c r="B3" t="s">
        <v>1</v>
      </c>
      <c r="C3" s="4">
        <v>3500</v>
      </c>
      <c r="Q3" t="s">
        <v>18</v>
      </c>
      <c r="R3" s="6">
        <v>67.58</v>
      </c>
      <c r="S3" t="s">
        <v>17</v>
      </c>
      <c r="W3" s="14">
        <v>67.58</v>
      </c>
      <c r="X3" s="14">
        <v>54</v>
      </c>
      <c r="Y3" t="s">
        <v>18</v>
      </c>
    </row>
    <row r="4" spans="1:37" x14ac:dyDescent="0.25">
      <c r="B4" t="s">
        <v>2</v>
      </c>
      <c r="C4" s="5">
        <f>C2-C3</f>
        <v>5000</v>
      </c>
      <c r="Q4" t="s">
        <v>23</v>
      </c>
      <c r="R4" s="1">
        <v>6.5000000000000002E-2</v>
      </c>
      <c r="S4" s="1">
        <f>R4/12</f>
        <v>5.4166666666666669E-3</v>
      </c>
    </row>
    <row r="5" spans="1:37" x14ac:dyDescent="0.25">
      <c r="B5" t="s">
        <v>3</v>
      </c>
      <c r="C5" s="3">
        <v>0.05</v>
      </c>
    </row>
    <row r="6" spans="1:37" x14ac:dyDescent="0.25">
      <c r="B6" t="s">
        <v>4</v>
      </c>
      <c r="C6" s="2">
        <v>60</v>
      </c>
    </row>
    <row r="8" spans="1:37" x14ac:dyDescent="0.25">
      <c r="B8" t="s">
        <v>5</v>
      </c>
      <c r="C8" s="5">
        <f>ROUND(PMT(C$5/12,C$6,-C$4,0),2)</f>
        <v>94.36</v>
      </c>
      <c r="D8" s="6"/>
      <c r="E8" s="6"/>
      <c r="F8" s="6"/>
      <c r="G8" s="6"/>
      <c r="H8" s="6"/>
      <c r="I8" s="6"/>
      <c r="J8" s="6"/>
      <c r="K8" s="6"/>
      <c r="L8" s="6"/>
      <c r="M8" s="6"/>
      <c r="R8">
        <v>3500</v>
      </c>
    </row>
    <row r="9" spans="1:37" x14ac:dyDescent="0.25">
      <c r="C9" s="5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37" ht="15.75" thickBot="1" x14ac:dyDescent="0.3">
      <c r="C10" s="34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37" ht="15.75" thickBot="1" x14ac:dyDescent="0.3">
      <c r="A11" s="31" t="s">
        <v>21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R11" s="31" t="s">
        <v>22</v>
      </c>
      <c r="S11" s="32"/>
      <c r="T11" s="32"/>
      <c r="U11" s="32"/>
      <c r="V11" s="32"/>
      <c r="W11" s="32"/>
      <c r="X11" s="32"/>
      <c r="Y11" s="32"/>
      <c r="Z11" s="32"/>
      <c r="AA11" s="33"/>
    </row>
    <row r="12" spans="1:37" s="7" customFormat="1" ht="45" x14ac:dyDescent="0.25">
      <c r="A12" s="8" t="s">
        <v>15</v>
      </c>
      <c r="B12" s="9" t="s">
        <v>6</v>
      </c>
      <c r="C12" s="10" t="s">
        <v>7</v>
      </c>
      <c r="D12" s="10" t="s">
        <v>5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0" t="s">
        <v>14</v>
      </c>
      <c r="L12" s="11" t="s">
        <v>31</v>
      </c>
      <c r="M12" s="10" t="s">
        <v>19</v>
      </c>
      <c r="N12" s="8" t="s">
        <v>20</v>
      </c>
      <c r="O12" s="16" t="s">
        <v>32</v>
      </c>
      <c r="P12" s="16" t="s">
        <v>30</v>
      </c>
      <c r="R12" s="8" t="s">
        <v>24</v>
      </c>
      <c r="S12" s="9" t="s">
        <v>28</v>
      </c>
      <c r="T12" s="9" t="s">
        <v>25</v>
      </c>
      <c r="U12" s="9" t="s">
        <v>26</v>
      </c>
      <c r="V12" s="9" t="s">
        <v>29</v>
      </c>
      <c r="W12" s="16" t="s">
        <v>27</v>
      </c>
      <c r="X12" s="18" t="s">
        <v>33</v>
      </c>
      <c r="Y12" s="8" t="s">
        <v>20</v>
      </c>
      <c r="Z12" s="16" t="s">
        <v>32</v>
      </c>
      <c r="AA12" s="18" t="s">
        <v>30</v>
      </c>
    </row>
    <row r="13" spans="1:37" s="27" customFormat="1" x14ac:dyDescent="0.25">
      <c r="A13" s="21"/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4">
        <v>0</v>
      </c>
      <c r="M13" s="23">
        <v>3500</v>
      </c>
      <c r="N13" s="21">
        <v>0</v>
      </c>
      <c r="O13" s="25">
        <v>0</v>
      </c>
      <c r="P13" s="26">
        <f>L13+M13+O13-J13</f>
        <v>3500</v>
      </c>
      <c r="R13" s="28"/>
      <c r="S13" s="23"/>
      <c r="T13" s="23"/>
      <c r="U13" s="23"/>
      <c r="V13" s="23"/>
      <c r="W13" s="24">
        <v>3500</v>
      </c>
      <c r="X13" s="29">
        <v>0</v>
      </c>
      <c r="Y13" s="28">
        <f>IF(X13&gt;0,-R$3,0)</f>
        <v>0</v>
      </c>
      <c r="Z13" s="24">
        <v>0</v>
      </c>
      <c r="AA13" s="29">
        <f>W13+X13+Z13</f>
        <v>3500</v>
      </c>
      <c r="AB13" s="30"/>
      <c r="AC13" s="30"/>
      <c r="AD13" s="30"/>
      <c r="AE13" s="30"/>
      <c r="AF13" s="30"/>
      <c r="AG13" s="30"/>
      <c r="AH13" s="30"/>
      <c r="AI13" s="30"/>
      <c r="AJ13" s="30"/>
      <c r="AK13" s="30"/>
    </row>
    <row r="14" spans="1:37" x14ac:dyDescent="0.25">
      <c r="A14" s="12">
        <v>1</v>
      </c>
      <c r="B14" s="13">
        <v>43191</v>
      </c>
      <c r="C14" s="14">
        <f>C$4</f>
        <v>5000</v>
      </c>
      <c r="D14" s="14">
        <f>C$8</f>
        <v>94.36</v>
      </c>
      <c r="E14" s="14">
        <f>D14-F14</f>
        <v>73.53</v>
      </c>
      <c r="F14" s="14">
        <f>ROUND(C14*C$5/12,2)</f>
        <v>20.83</v>
      </c>
      <c r="G14" s="20">
        <f>200-C$8-R$2</f>
        <v>43.64</v>
      </c>
      <c r="H14" s="14">
        <f>D14+G14</f>
        <v>138</v>
      </c>
      <c r="I14" s="14">
        <f>E14+G14</f>
        <v>117.17</v>
      </c>
      <c r="J14" s="14">
        <f>F14</f>
        <v>20.83</v>
      </c>
      <c r="K14" s="14">
        <f>C14-E14-G14</f>
        <v>4882.83</v>
      </c>
      <c r="L14" s="15">
        <f>C3</f>
        <v>3500</v>
      </c>
      <c r="M14" s="14">
        <v>0</v>
      </c>
      <c r="N14" s="17">
        <f>-R$2</f>
        <v>-62</v>
      </c>
      <c r="O14" s="15">
        <f>N14+O13</f>
        <v>-62</v>
      </c>
      <c r="P14" s="26">
        <f t="shared" ref="P14:P61" si="0">L14+M14+O14-J14</f>
        <v>3417.17</v>
      </c>
      <c r="R14" s="17">
        <f>W13</f>
        <v>3500</v>
      </c>
      <c r="S14" s="14">
        <f>T14-R14</f>
        <v>18.95833333333303</v>
      </c>
      <c r="T14" s="14">
        <f>R14*(100%+S$4)</f>
        <v>3518.958333333333</v>
      </c>
      <c r="U14" s="14">
        <v>200</v>
      </c>
      <c r="V14" s="14">
        <v>0</v>
      </c>
      <c r="W14" s="15">
        <f>SUM(T14:U14)+V14</f>
        <v>3718.958333333333</v>
      </c>
      <c r="X14" s="19">
        <f t="shared" ref="X14:X22" si="1">IF(X13&gt;0,X13,IF(V14&lt;0,-V14,0))</f>
        <v>0</v>
      </c>
      <c r="Y14" s="28">
        <f t="shared" ref="Y14:Y45" si="2">IF(X14&gt;0,-R$3,0)</f>
        <v>0</v>
      </c>
      <c r="Z14" s="15">
        <f>Y14+Z13</f>
        <v>0</v>
      </c>
      <c r="AA14" s="29">
        <f t="shared" ref="AA14:AA45" si="3">W14+X14+Z14</f>
        <v>3718.958333333333</v>
      </c>
      <c r="AB14" s="14"/>
      <c r="AC14" s="14"/>
      <c r="AD14" s="14"/>
      <c r="AE14" s="14"/>
      <c r="AF14" s="14"/>
      <c r="AG14" s="14"/>
      <c r="AH14" s="14"/>
      <c r="AI14" s="6"/>
      <c r="AJ14" s="6"/>
      <c r="AK14" s="6"/>
    </row>
    <row r="15" spans="1:37" x14ac:dyDescent="0.25">
      <c r="A15" s="12">
        <v>2</v>
      </c>
      <c r="B15" s="13">
        <v>43221</v>
      </c>
      <c r="C15" s="14">
        <f>K14</f>
        <v>4882.83</v>
      </c>
      <c r="D15" s="14">
        <f>C$8</f>
        <v>94.36</v>
      </c>
      <c r="E15" s="14">
        <f>D15-F15</f>
        <v>74.009999999999991</v>
      </c>
      <c r="F15" s="14">
        <f>ROUND(C15*C$5/12,2)</f>
        <v>20.350000000000001</v>
      </c>
      <c r="G15" s="20">
        <f>200-C$8-R$2</f>
        <v>43.64</v>
      </c>
      <c r="H15" s="14">
        <f>IF(K14&lt;1,0,D15+G15)</f>
        <v>138</v>
      </c>
      <c r="I15" s="14">
        <f>E15+G15+I14</f>
        <v>234.82</v>
      </c>
      <c r="J15" s="14">
        <f>F15+J14</f>
        <v>41.18</v>
      </c>
      <c r="K15" s="14">
        <f>IF(K14&lt;1,0,C15-E15-G15)</f>
        <v>4765.1799999999994</v>
      </c>
      <c r="L15" s="15">
        <f>IF(K12&lt;=0,8500,L14+E15+G15)</f>
        <v>3617.65</v>
      </c>
      <c r="M15" s="14">
        <v>0</v>
      </c>
      <c r="N15" s="17">
        <f>-R$2</f>
        <v>-62</v>
      </c>
      <c r="O15" s="15">
        <f>N15+O14</f>
        <v>-124</v>
      </c>
      <c r="P15" s="26">
        <f t="shared" si="0"/>
        <v>3452.4700000000003</v>
      </c>
      <c r="R15" s="17">
        <f>W14</f>
        <v>3718.958333333333</v>
      </c>
      <c r="S15" s="14">
        <f>T15-R15</f>
        <v>20.144357638888778</v>
      </c>
      <c r="T15" s="14">
        <f>R15*(100%+S$4)</f>
        <v>3739.1026909722218</v>
      </c>
      <c r="U15" s="14">
        <v>200</v>
      </c>
      <c r="V15" s="14">
        <v>0</v>
      </c>
      <c r="W15" s="15">
        <f>SUM(T15:U15)+V15</f>
        <v>3939.1026909722218</v>
      </c>
      <c r="X15" s="19">
        <f t="shared" si="1"/>
        <v>0</v>
      </c>
      <c r="Y15" s="28">
        <f t="shared" si="2"/>
        <v>0</v>
      </c>
      <c r="Z15" s="15">
        <f t="shared" ref="Z15:Z45" si="4">Y15+Z14</f>
        <v>0</v>
      </c>
      <c r="AA15" s="29">
        <f t="shared" si="3"/>
        <v>3939.1026909722218</v>
      </c>
      <c r="AB15" s="14"/>
      <c r="AC15" s="14"/>
      <c r="AD15" s="14"/>
      <c r="AE15" s="14"/>
      <c r="AF15" s="14"/>
      <c r="AG15" s="14"/>
      <c r="AH15" s="14"/>
      <c r="AI15" s="6"/>
      <c r="AJ15" s="6"/>
      <c r="AK15" s="6"/>
    </row>
    <row r="16" spans="1:37" x14ac:dyDescent="0.25">
      <c r="A16" s="12">
        <v>3</v>
      </c>
      <c r="B16" s="13">
        <v>43252</v>
      </c>
      <c r="C16" s="14">
        <f t="shared" ref="C16:C23" si="5">K15</f>
        <v>4765.1799999999994</v>
      </c>
      <c r="D16" s="14">
        <f>C$8</f>
        <v>94.36</v>
      </c>
      <c r="E16" s="14">
        <f t="shared" ref="E16:E61" si="6">D16-F16</f>
        <v>74.509999999999991</v>
      </c>
      <c r="F16" s="14">
        <f>ROUND(C16*C$5/12,2)</f>
        <v>19.850000000000001</v>
      </c>
      <c r="G16" s="20">
        <f>200-C$8-R$2</f>
        <v>43.64</v>
      </c>
      <c r="H16" s="14">
        <f t="shared" ref="H16:H61" si="7">IF(K15&lt;1,0,D16+G16)</f>
        <v>138</v>
      </c>
      <c r="I16" s="14">
        <f t="shared" ref="I16:I23" si="8">E16+G16+I15</f>
        <v>352.96999999999997</v>
      </c>
      <c r="J16" s="14">
        <f t="shared" ref="J16:J23" si="9">F16+J15</f>
        <v>61.03</v>
      </c>
      <c r="K16" s="14">
        <f t="shared" ref="K16:K61" si="10">IF(K15&lt;1,0,C16-E16-G16)</f>
        <v>4647.0299999999988</v>
      </c>
      <c r="L16" s="15">
        <f t="shared" ref="L16:L58" si="11">IF(K14&lt;=0,8500,L15+E16+G16)</f>
        <v>3735.7999999999997</v>
      </c>
      <c r="M16" s="14">
        <v>0</v>
      </c>
      <c r="N16" s="17">
        <f>-R$2</f>
        <v>-62</v>
      </c>
      <c r="O16" s="15">
        <f t="shared" ref="O16:O61" si="12">N16+O15</f>
        <v>-186</v>
      </c>
      <c r="P16" s="26">
        <f t="shared" si="0"/>
        <v>3488.7699999999995</v>
      </c>
      <c r="R16" s="17">
        <f>W15</f>
        <v>3939.1026909722218</v>
      </c>
      <c r="S16" s="14">
        <f t="shared" ref="S16:S61" si="13">T16-R16</f>
        <v>21.336806242766215</v>
      </c>
      <c r="T16" s="14">
        <f t="shared" ref="T16:T45" si="14">R16*(100%+S$4)</f>
        <v>3960.439497214988</v>
      </c>
      <c r="U16" s="14">
        <v>200</v>
      </c>
      <c r="V16" s="14">
        <v>0</v>
      </c>
      <c r="W16" s="15">
        <f>SUM(T16:U16)+V16</f>
        <v>4160.4394972149876</v>
      </c>
      <c r="X16" s="19">
        <f t="shared" si="1"/>
        <v>0</v>
      </c>
      <c r="Y16" s="28">
        <f t="shared" si="2"/>
        <v>0</v>
      </c>
      <c r="Z16" s="15">
        <f t="shared" si="4"/>
        <v>0</v>
      </c>
      <c r="AA16" s="29">
        <f t="shared" si="3"/>
        <v>4160.4394972149876</v>
      </c>
      <c r="AB16" s="14"/>
      <c r="AC16" s="14"/>
      <c r="AD16" s="14"/>
      <c r="AE16" s="14"/>
      <c r="AF16" s="14"/>
      <c r="AG16" s="14"/>
      <c r="AH16" s="14"/>
      <c r="AI16" s="6"/>
      <c r="AJ16" s="6"/>
      <c r="AK16" s="6"/>
    </row>
    <row r="17" spans="1:37" x14ac:dyDescent="0.25">
      <c r="A17" s="12">
        <v>4</v>
      </c>
      <c r="B17" s="13">
        <v>43282</v>
      </c>
      <c r="C17" s="14">
        <f t="shared" si="5"/>
        <v>4647.0299999999988</v>
      </c>
      <c r="D17" s="14">
        <f>C$8</f>
        <v>94.36</v>
      </c>
      <c r="E17" s="14">
        <f t="shared" si="6"/>
        <v>75</v>
      </c>
      <c r="F17" s="14">
        <f>ROUND(C17*C$5/12,2)</f>
        <v>19.36</v>
      </c>
      <c r="G17" s="20">
        <f>200-C$8-R$2</f>
        <v>43.64</v>
      </c>
      <c r="H17" s="14">
        <f t="shared" si="7"/>
        <v>138</v>
      </c>
      <c r="I17" s="14">
        <f t="shared" si="8"/>
        <v>471.60999999999996</v>
      </c>
      <c r="J17" s="14">
        <f t="shared" si="9"/>
        <v>80.39</v>
      </c>
      <c r="K17" s="14">
        <f t="shared" si="10"/>
        <v>4528.3899999999985</v>
      </c>
      <c r="L17" s="15">
        <f t="shared" si="11"/>
        <v>3854.4399999999996</v>
      </c>
      <c r="M17" s="14">
        <v>0</v>
      </c>
      <c r="N17" s="17">
        <f>-R$2</f>
        <v>-62</v>
      </c>
      <c r="O17" s="15">
        <f t="shared" si="12"/>
        <v>-248</v>
      </c>
      <c r="P17" s="26">
        <f t="shared" si="0"/>
        <v>3526.0499999999997</v>
      </c>
      <c r="R17" s="17">
        <f>W16</f>
        <v>4160.4394972149876</v>
      </c>
      <c r="S17" s="14">
        <f t="shared" si="13"/>
        <v>22.535713943248084</v>
      </c>
      <c r="T17" s="14">
        <f t="shared" si="14"/>
        <v>4182.9752111582357</v>
      </c>
      <c r="U17" s="14">
        <v>200</v>
      </c>
      <c r="V17" s="14">
        <v>0</v>
      </c>
      <c r="W17" s="15">
        <f>SUM(T17:U17)+V17</f>
        <v>4382.9752111582357</v>
      </c>
      <c r="X17" s="19">
        <f t="shared" si="1"/>
        <v>0</v>
      </c>
      <c r="Y17" s="28">
        <f t="shared" si="2"/>
        <v>0</v>
      </c>
      <c r="Z17" s="15">
        <f t="shared" si="4"/>
        <v>0</v>
      </c>
      <c r="AA17" s="29">
        <f t="shared" si="3"/>
        <v>4382.9752111582357</v>
      </c>
      <c r="AB17" s="14"/>
      <c r="AC17" s="14"/>
      <c r="AD17" s="14"/>
      <c r="AE17" s="14"/>
      <c r="AF17" s="14"/>
      <c r="AG17" s="14"/>
      <c r="AH17" s="14"/>
      <c r="AI17" s="6"/>
      <c r="AJ17" s="6"/>
      <c r="AK17" s="6"/>
    </row>
    <row r="18" spans="1:37" x14ac:dyDescent="0.25">
      <c r="A18" s="12">
        <v>5</v>
      </c>
      <c r="B18" s="13">
        <v>43313</v>
      </c>
      <c r="C18" s="14">
        <f t="shared" si="5"/>
        <v>4528.3899999999985</v>
      </c>
      <c r="D18" s="14">
        <f>C$8</f>
        <v>94.36</v>
      </c>
      <c r="E18" s="14">
        <f t="shared" si="6"/>
        <v>75.489999999999995</v>
      </c>
      <c r="F18" s="14">
        <f>ROUND(C18*C$5/12,2)</f>
        <v>18.87</v>
      </c>
      <c r="G18" s="20">
        <f>200-C$8-R$2</f>
        <v>43.64</v>
      </c>
      <c r="H18" s="14">
        <f t="shared" si="7"/>
        <v>138</v>
      </c>
      <c r="I18" s="14">
        <f t="shared" si="8"/>
        <v>590.74</v>
      </c>
      <c r="J18" s="14">
        <f t="shared" si="9"/>
        <v>99.26</v>
      </c>
      <c r="K18" s="14">
        <f t="shared" si="10"/>
        <v>4409.2599999999984</v>
      </c>
      <c r="L18" s="15">
        <f t="shared" si="11"/>
        <v>3973.5699999999993</v>
      </c>
      <c r="M18" s="14">
        <v>0</v>
      </c>
      <c r="N18" s="17">
        <f>-R$2</f>
        <v>-62</v>
      </c>
      <c r="O18" s="15">
        <f t="shared" si="12"/>
        <v>-310</v>
      </c>
      <c r="P18" s="26">
        <f t="shared" si="0"/>
        <v>3564.309999999999</v>
      </c>
      <c r="R18" s="17">
        <f>W17</f>
        <v>4382.9752111582357</v>
      </c>
      <c r="S18" s="14">
        <f t="shared" si="13"/>
        <v>23.741115727107172</v>
      </c>
      <c r="T18" s="14">
        <f t="shared" si="14"/>
        <v>4406.7163268853428</v>
      </c>
      <c r="U18" s="14">
        <v>200</v>
      </c>
      <c r="V18" s="14">
        <v>0</v>
      </c>
      <c r="W18" s="15">
        <f>SUM(T18:U18)+V18</f>
        <v>4606.7163268853428</v>
      </c>
      <c r="X18" s="19">
        <f t="shared" si="1"/>
        <v>0</v>
      </c>
      <c r="Y18" s="28">
        <f t="shared" si="2"/>
        <v>0</v>
      </c>
      <c r="Z18" s="15">
        <f t="shared" si="4"/>
        <v>0</v>
      </c>
      <c r="AA18" s="29">
        <f t="shared" si="3"/>
        <v>4606.7163268853428</v>
      </c>
      <c r="AB18" s="14"/>
      <c r="AC18" s="14"/>
      <c r="AD18" s="14"/>
      <c r="AE18" s="14"/>
      <c r="AF18" s="14"/>
      <c r="AG18" s="14"/>
      <c r="AH18" s="14"/>
      <c r="AI18" s="6"/>
      <c r="AJ18" s="6"/>
      <c r="AK18" s="6"/>
    </row>
    <row r="19" spans="1:37" x14ac:dyDescent="0.25">
      <c r="A19" s="12">
        <v>6</v>
      </c>
      <c r="B19" s="13">
        <v>43344</v>
      </c>
      <c r="C19" s="14">
        <f t="shared" si="5"/>
        <v>4409.2599999999984</v>
      </c>
      <c r="D19" s="14">
        <f>C$8</f>
        <v>94.36</v>
      </c>
      <c r="E19" s="14">
        <f t="shared" si="6"/>
        <v>75.989999999999995</v>
      </c>
      <c r="F19" s="14">
        <f>ROUND(C19*C$5/12,2)</f>
        <v>18.37</v>
      </c>
      <c r="G19" s="20">
        <f>200-C$8-R$2</f>
        <v>43.64</v>
      </c>
      <c r="H19" s="14">
        <f t="shared" si="7"/>
        <v>138</v>
      </c>
      <c r="I19" s="14">
        <f t="shared" si="8"/>
        <v>710.37</v>
      </c>
      <c r="J19" s="14">
        <f t="shared" si="9"/>
        <v>117.63000000000001</v>
      </c>
      <c r="K19" s="14">
        <f t="shared" si="10"/>
        <v>4289.6299999999983</v>
      </c>
      <c r="L19" s="15">
        <f t="shared" si="11"/>
        <v>4093.1999999999989</v>
      </c>
      <c r="M19" s="14">
        <v>0</v>
      </c>
      <c r="N19" s="17">
        <f>-R$2</f>
        <v>-62</v>
      </c>
      <c r="O19" s="15">
        <f t="shared" si="12"/>
        <v>-372</v>
      </c>
      <c r="P19" s="26">
        <f t="shared" si="0"/>
        <v>3603.5699999999988</v>
      </c>
      <c r="R19" s="17">
        <f>W18</f>
        <v>4606.7163268853428</v>
      </c>
      <c r="S19" s="14">
        <f t="shared" si="13"/>
        <v>24.953046770629044</v>
      </c>
      <c r="T19" s="14">
        <f t="shared" si="14"/>
        <v>4631.6693736559719</v>
      </c>
      <c r="U19" s="14">
        <v>200</v>
      </c>
      <c r="V19" s="14">
        <v>0</v>
      </c>
      <c r="W19" s="15">
        <f>SUM(T19:U19)+V19</f>
        <v>4831.6693736559719</v>
      </c>
      <c r="X19" s="19">
        <f t="shared" si="1"/>
        <v>0</v>
      </c>
      <c r="Y19" s="28">
        <f t="shared" si="2"/>
        <v>0</v>
      </c>
      <c r="Z19" s="15">
        <f t="shared" si="4"/>
        <v>0</v>
      </c>
      <c r="AA19" s="29">
        <f t="shared" si="3"/>
        <v>4831.6693736559719</v>
      </c>
      <c r="AB19" s="14"/>
      <c r="AC19" s="14"/>
      <c r="AD19" s="14"/>
      <c r="AE19" s="14"/>
      <c r="AF19" s="14"/>
      <c r="AG19" s="14"/>
      <c r="AH19" s="14"/>
      <c r="AI19" s="6"/>
      <c r="AJ19" s="6"/>
      <c r="AK19" s="6"/>
    </row>
    <row r="20" spans="1:37" x14ac:dyDescent="0.25">
      <c r="A20" s="12">
        <v>7</v>
      </c>
      <c r="B20" s="13">
        <v>43374</v>
      </c>
      <c r="C20" s="14">
        <f t="shared" si="5"/>
        <v>4289.6299999999983</v>
      </c>
      <c r="D20" s="14">
        <f>C$8</f>
        <v>94.36</v>
      </c>
      <c r="E20" s="14">
        <f t="shared" si="6"/>
        <v>76.489999999999995</v>
      </c>
      <c r="F20" s="14">
        <f>ROUND(C20*C$5/12,2)</f>
        <v>17.87</v>
      </c>
      <c r="G20" s="20">
        <f>200-C$8-R$2</f>
        <v>43.64</v>
      </c>
      <c r="H20" s="14">
        <f t="shared" si="7"/>
        <v>138</v>
      </c>
      <c r="I20" s="14">
        <f t="shared" si="8"/>
        <v>830.5</v>
      </c>
      <c r="J20" s="14">
        <f t="shared" si="9"/>
        <v>135.5</v>
      </c>
      <c r="K20" s="14">
        <f t="shared" si="10"/>
        <v>4169.4999999999982</v>
      </c>
      <c r="L20" s="15">
        <f t="shared" si="11"/>
        <v>4213.329999999999</v>
      </c>
      <c r="M20" s="14">
        <v>0</v>
      </c>
      <c r="N20" s="17">
        <f>-R$2</f>
        <v>-62</v>
      </c>
      <c r="O20" s="15">
        <f t="shared" si="12"/>
        <v>-434</v>
      </c>
      <c r="P20" s="26">
        <f t="shared" si="0"/>
        <v>3643.829999999999</v>
      </c>
      <c r="R20" s="17">
        <f>W19</f>
        <v>4831.6693736559719</v>
      </c>
      <c r="S20" s="14">
        <f t="shared" si="13"/>
        <v>26.171542440636586</v>
      </c>
      <c r="T20" s="14">
        <f t="shared" si="14"/>
        <v>4857.8409160966085</v>
      </c>
      <c r="U20" s="14">
        <v>200</v>
      </c>
      <c r="V20" s="14">
        <v>0</v>
      </c>
      <c r="W20" s="15">
        <f>SUM(T20:U20)+V20</f>
        <v>5057.8409160966085</v>
      </c>
      <c r="X20" s="19">
        <f t="shared" si="1"/>
        <v>0</v>
      </c>
      <c r="Y20" s="28">
        <f t="shared" si="2"/>
        <v>0</v>
      </c>
      <c r="Z20" s="15">
        <f t="shared" si="4"/>
        <v>0</v>
      </c>
      <c r="AA20" s="29">
        <f t="shared" si="3"/>
        <v>5057.8409160966085</v>
      </c>
      <c r="AB20" s="14"/>
      <c r="AC20" s="14"/>
      <c r="AD20" s="14"/>
      <c r="AE20" s="14"/>
      <c r="AF20" s="14"/>
      <c r="AG20" s="14"/>
      <c r="AH20" s="14"/>
      <c r="AI20" s="6"/>
      <c r="AJ20" s="6"/>
      <c r="AK20" s="6"/>
    </row>
    <row r="21" spans="1:37" x14ac:dyDescent="0.25">
      <c r="A21" s="12">
        <v>8</v>
      </c>
      <c r="B21" s="13">
        <v>43405</v>
      </c>
      <c r="C21" s="14">
        <f t="shared" si="5"/>
        <v>4169.4999999999982</v>
      </c>
      <c r="D21" s="14">
        <f>C$8</f>
        <v>94.36</v>
      </c>
      <c r="E21" s="14">
        <f t="shared" si="6"/>
        <v>76.989999999999995</v>
      </c>
      <c r="F21" s="14">
        <f>ROUND(C21*C$5/12,2)</f>
        <v>17.37</v>
      </c>
      <c r="G21" s="20">
        <f>200-C$8-R$2</f>
        <v>43.64</v>
      </c>
      <c r="H21" s="14">
        <f t="shared" si="7"/>
        <v>138</v>
      </c>
      <c r="I21" s="14">
        <f t="shared" si="8"/>
        <v>951.13</v>
      </c>
      <c r="J21" s="14">
        <f t="shared" si="9"/>
        <v>152.87</v>
      </c>
      <c r="K21" s="14">
        <f t="shared" si="10"/>
        <v>4048.8699999999985</v>
      </c>
      <c r="L21" s="15">
        <f t="shared" si="11"/>
        <v>4333.9599999999991</v>
      </c>
      <c r="M21" s="14">
        <v>0</v>
      </c>
      <c r="N21" s="17">
        <f>-R$2</f>
        <v>-62</v>
      </c>
      <c r="O21" s="15">
        <f t="shared" si="12"/>
        <v>-496</v>
      </c>
      <c r="P21" s="26">
        <f t="shared" si="0"/>
        <v>3685.0899999999992</v>
      </c>
      <c r="R21" s="17">
        <f>W20</f>
        <v>5057.8409160966085</v>
      </c>
      <c r="S21" s="14">
        <f t="shared" si="13"/>
        <v>27.396638295523189</v>
      </c>
      <c r="T21" s="14">
        <f t="shared" si="14"/>
        <v>5085.2375543921316</v>
      </c>
      <c r="U21" s="14">
        <v>200</v>
      </c>
      <c r="V21" s="14">
        <v>0</v>
      </c>
      <c r="W21" s="15">
        <f>SUM(T21:U21)+V21</f>
        <v>5285.2375543921316</v>
      </c>
      <c r="X21" s="19">
        <f t="shared" si="1"/>
        <v>0</v>
      </c>
      <c r="Y21" s="28">
        <f t="shared" si="2"/>
        <v>0</v>
      </c>
      <c r="Z21" s="15">
        <f t="shared" si="4"/>
        <v>0</v>
      </c>
      <c r="AA21" s="29">
        <f t="shared" si="3"/>
        <v>5285.2375543921316</v>
      </c>
      <c r="AB21" s="14"/>
      <c r="AC21" s="14"/>
      <c r="AD21" s="14"/>
      <c r="AE21" s="14"/>
      <c r="AF21" s="14"/>
      <c r="AG21" s="14"/>
      <c r="AH21" s="14"/>
      <c r="AI21" s="6"/>
      <c r="AJ21" s="6"/>
      <c r="AK21" s="6"/>
    </row>
    <row r="22" spans="1:37" x14ac:dyDescent="0.25">
      <c r="A22" s="12">
        <v>9</v>
      </c>
      <c r="B22" s="13">
        <v>43435</v>
      </c>
      <c r="C22" s="14">
        <f t="shared" si="5"/>
        <v>4048.8699999999985</v>
      </c>
      <c r="D22" s="14">
        <f>C$8</f>
        <v>94.36</v>
      </c>
      <c r="E22" s="14">
        <f t="shared" si="6"/>
        <v>77.489999999999995</v>
      </c>
      <c r="F22" s="14">
        <f>ROUND(C22*C$5/12,2)</f>
        <v>16.87</v>
      </c>
      <c r="G22" s="20">
        <f>200-C$8-R$2</f>
        <v>43.64</v>
      </c>
      <c r="H22" s="14">
        <f t="shared" si="7"/>
        <v>138</v>
      </c>
      <c r="I22" s="14">
        <f t="shared" si="8"/>
        <v>1072.26</v>
      </c>
      <c r="J22" s="14">
        <f t="shared" si="9"/>
        <v>169.74</v>
      </c>
      <c r="K22" s="14">
        <f t="shared" si="10"/>
        <v>3927.7399999999989</v>
      </c>
      <c r="L22" s="15">
        <f t="shared" si="11"/>
        <v>4455.0899999999992</v>
      </c>
      <c r="M22" s="14">
        <v>0</v>
      </c>
      <c r="N22" s="17">
        <f>-R$2</f>
        <v>-62</v>
      </c>
      <c r="O22" s="15">
        <f t="shared" si="12"/>
        <v>-558</v>
      </c>
      <c r="P22" s="26">
        <f t="shared" si="0"/>
        <v>3727.3499999999995</v>
      </c>
      <c r="R22" s="17">
        <f>W21</f>
        <v>5285.2375543921316</v>
      </c>
      <c r="S22" s="14">
        <f t="shared" si="13"/>
        <v>28.628370086290488</v>
      </c>
      <c r="T22" s="14">
        <f t="shared" si="14"/>
        <v>5313.8659244784221</v>
      </c>
      <c r="U22" s="14">
        <v>200</v>
      </c>
      <c r="V22" s="14">
        <v>0</v>
      </c>
      <c r="W22" s="15">
        <f>SUM(T22:U22)+V22</f>
        <v>5513.8659244784221</v>
      </c>
      <c r="X22" s="19">
        <f t="shared" si="1"/>
        <v>0</v>
      </c>
      <c r="Y22" s="28">
        <f t="shared" si="2"/>
        <v>0</v>
      </c>
      <c r="Z22" s="15">
        <f t="shared" si="4"/>
        <v>0</v>
      </c>
      <c r="AA22" s="29">
        <f t="shared" si="3"/>
        <v>5513.8659244784221</v>
      </c>
      <c r="AB22" s="14"/>
      <c r="AC22" s="14"/>
      <c r="AD22" s="14"/>
      <c r="AE22" s="14"/>
      <c r="AF22" s="14"/>
      <c r="AG22" s="14"/>
      <c r="AH22" s="14"/>
      <c r="AI22" s="6"/>
      <c r="AJ22" s="6"/>
      <c r="AK22" s="6"/>
    </row>
    <row r="23" spans="1:37" x14ac:dyDescent="0.25">
      <c r="A23" s="12">
        <v>10</v>
      </c>
      <c r="B23" s="13">
        <v>43466</v>
      </c>
      <c r="C23" s="14">
        <f t="shared" si="5"/>
        <v>3927.7399999999989</v>
      </c>
      <c r="D23" s="14">
        <f>C$8</f>
        <v>94.36</v>
      </c>
      <c r="E23" s="14">
        <f t="shared" si="6"/>
        <v>77.989999999999995</v>
      </c>
      <c r="F23" s="14">
        <f>ROUND(C23*C$5/12,2)</f>
        <v>16.37</v>
      </c>
      <c r="G23" s="20">
        <f>200-C$8-R$2</f>
        <v>43.64</v>
      </c>
      <c r="H23" s="14">
        <f t="shared" si="7"/>
        <v>138</v>
      </c>
      <c r="I23" s="14">
        <f t="shared" si="8"/>
        <v>1193.8899999999999</v>
      </c>
      <c r="J23" s="14">
        <f t="shared" si="9"/>
        <v>186.11</v>
      </c>
      <c r="K23" s="14">
        <f t="shared" si="10"/>
        <v>3806.1099999999992</v>
      </c>
      <c r="L23" s="15">
        <f t="shared" si="11"/>
        <v>4576.7199999999993</v>
      </c>
      <c r="M23" s="14">
        <v>0</v>
      </c>
      <c r="N23" s="17">
        <f>-R$2</f>
        <v>-62</v>
      </c>
      <c r="O23" s="15">
        <f t="shared" si="12"/>
        <v>-620</v>
      </c>
      <c r="P23" s="26">
        <f t="shared" si="0"/>
        <v>3770.6099999999992</v>
      </c>
      <c r="R23" s="17">
        <f>W22</f>
        <v>5513.8659244784221</v>
      </c>
      <c r="S23" s="14">
        <f t="shared" si="13"/>
        <v>29.866773757591545</v>
      </c>
      <c r="T23" s="14">
        <f t="shared" si="14"/>
        <v>5543.7326982360137</v>
      </c>
      <c r="U23" s="14">
        <v>200</v>
      </c>
      <c r="V23" s="14">
        <v>0</v>
      </c>
      <c r="W23" s="15">
        <f>SUM(T23:U23)+V23</f>
        <v>5743.7326982360137</v>
      </c>
      <c r="X23" s="19">
        <f t="shared" ref="X23:X35" si="15">IF(X22&gt;0,X22,IF(V23&lt;0,-V23,0))</f>
        <v>0</v>
      </c>
      <c r="Y23" s="28">
        <f t="shared" si="2"/>
        <v>0</v>
      </c>
      <c r="Z23" s="15">
        <f t="shared" si="4"/>
        <v>0</v>
      </c>
      <c r="AA23" s="29">
        <f t="shared" si="3"/>
        <v>5743.7326982360137</v>
      </c>
      <c r="AB23" s="14"/>
      <c r="AC23" s="14"/>
      <c r="AD23" s="14"/>
      <c r="AE23" s="14"/>
      <c r="AF23" s="14"/>
      <c r="AG23" s="14"/>
      <c r="AH23" s="14"/>
      <c r="AI23" s="6"/>
      <c r="AJ23" s="6"/>
      <c r="AK23" s="6"/>
    </row>
    <row r="24" spans="1:37" x14ac:dyDescent="0.25">
      <c r="A24" s="12">
        <v>11</v>
      </c>
      <c r="B24" s="13">
        <v>43497</v>
      </c>
      <c r="C24" s="14">
        <f t="shared" ref="C24:C61" si="16">K23</f>
        <v>3806.1099999999992</v>
      </c>
      <c r="D24" s="14">
        <f>C$8</f>
        <v>94.36</v>
      </c>
      <c r="E24" s="14">
        <f t="shared" si="6"/>
        <v>78.5</v>
      </c>
      <c r="F24" s="14">
        <f>ROUND(C24*C$5/12,2)</f>
        <v>15.86</v>
      </c>
      <c r="G24" s="20">
        <f>200-C$8-R$2</f>
        <v>43.64</v>
      </c>
      <c r="H24" s="14">
        <f t="shared" si="7"/>
        <v>138</v>
      </c>
      <c r="I24" s="14">
        <f t="shared" ref="I24:I61" si="17">E24+G24+I23</f>
        <v>1316.03</v>
      </c>
      <c r="J24" s="14">
        <f t="shared" ref="J24:J61" si="18">F24+J23</f>
        <v>201.97000000000003</v>
      </c>
      <c r="K24" s="14">
        <f t="shared" si="10"/>
        <v>3683.9699999999993</v>
      </c>
      <c r="L24" s="15">
        <f t="shared" si="11"/>
        <v>4698.8599999999997</v>
      </c>
      <c r="M24" s="14">
        <v>0</v>
      </c>
      <c r="N24" s="17">
        <f>-R$2</f>
        <v>-62</v>
      </c>
      <c r="O24" s="15">
        <f t="shared" si="12"/>
        <v>-682</v>
      </c>
      <c r="P24" s="26">
        <f t="shared" si="0"/>
        <v>3814.8899999999994</v>
      </c>
      <c r="R24" s="17">
        <f>W23</f>
        <v>5743.7326982360137</v>
      </c>
      <c r="S24" s="14">
        <f t="shared" si="13"/>
        <v>31.111885448778594</v>
      </c>
      <c r="T24" s="14">
        <f t="shared" si="14"/>
        <v>5774.8445836847923</v>
      </c>
      <c r="U24" s="14">
        <v>200</v>
      </c>
      <c r="V24" s="14">
        <v>0</v>
      </c>
      <c r="W24" s="15">
        <f>SUM(T24:U24)+V24</f>
        <v>5974.8445836847923</v>
      </c>
      <c r="X24" s="19">
        <f t="shared" si="15"/>
        <v>0</v>
      </c>
      <c r="Y24" s="28">
        <f t="shared" si="2"/>
        <v>0</v>
      </c>
      <c r="Z24" s="15">
        <f t="shared" si="4"/>
        <v>0</v>
      </c>
      <c r="AA24" s="29">
        <f t="shared" si="3"/>
        <v>5974.8445836847923</v>
      </c>
      <c r="AB24" s="14"/>
      <c r="AC24" s="14"/>
      <c r="AD24" s="14"/>
      <c r="AE24" s="14"/>
      <c r="AF24" s="14"/>
      <c r="AG24" s="14"/>
      <c r="AH24" s="14"/>
      <c r="AI24" s="6"/>
      <c r="AJ24" s="6"/>
      <c r="AK24" s="6"/>
    </row>
    <row r="25" spans="1:37" x14ac:dyDescent="0.25">
      <c r="A25" s="12">
        <v>12</v>
      </c>
      <c r="B25" s="13">
        <v>43525</v>
      </c>
      <c r="C25" s="14">
        <f t="shared" si="16"/>
        <v>3683.9699999999993</v>
      </c>
      <c r="D25" s="14">
        <f>C$8</f>
        <v>94.36</v>
      </c>
      <c r="E25" s="14">
        <f t="shared" si="6"/>
        <v>79.010000000000005</v>
      </c>
      <c r="F25" s="14">
        <f>ROUND(C25*C$5/12,2)</f>
        <v>15.35</v>
      </c>
      <c r="G25" s="20">
        <f>200-C$8-R$2</f>
        <v>43.64</v>
      </c>
      <c r="H25" s="14">
        <f t="shared" si="7"/>
        <v>138</v>
      </c>
      <c r="I25" s="14">
        <f t="shared" si="17"/>
        <v>1438.68</v>
      </c>
      <c r="J25" s="14">
        <f t="shared" si="18"/>
        <v>217.32000000000002</v>
      </c>
      <c r="K25" s="14">
        <f t="shared" si="10"/>
        <v>3561.3199999999993</v>
      </c>
      <c r="L25" s="15">
        <f t="shared" si="11"/>
        <v>4821.51</v>
      </c>
      <c r="M25" s="14">
        <v>0</v>
      </c>
      <c r="N25" s="17">
        <f>-R$2</f>
        <v>-62</v>
      </c>
      <c r="O25" s="15">
        <f t="shared" si="12"/>
        <v>-744</v>
      </c>
      <c r="P25" s="26">
        <f t="shared" si="0"/>
        <v>3860.19</v>
      </c>
      <c r="R25" s="17">
        <f>W24</f>
        <v>5974.8445836847923</v>
      </c>
      <c r="S25" s="14">
        <f t="shared" si="13"/>
        <v>32.363741494958958</v>
      </c>
      <c r="T25" s="14">
        <f t="shared" si="14"/>
        <v>6007.2083251797512</v>
      </c>
      <c r="U25" s="14">
        <v>200</v>
      </c>
      <c r="V25" s="14">
        <v>0</v>
      </c>
      <c r="W25" s="15">
        <f>SUM(T25:U25)+V25</f>
        <v>6207.2083251797512</v>
      </c>
      <c r="X25" s="19">
        <f t="shared" si="15"/>
        <v>0</v>
      </c>
      <c r="Y25" s="28">
        <f t="shared" si="2"/>
        <v>0</v>
      </c>
      <c r="Z25" s="15">
        <f t="shared" si="4"/>
        <v>0</v>
      </c>
      <c r="AA25" s="29">
        <f t="shared" si="3"/>
        <v>6207.2083251797512</v>
      </c>
      <c r="AB25" s="14"/>
      <c r="AC25" s="14"/>
      <c r="AD25" s="14"/>
      <c r="AE25" s="14"/>
      <c r="AF25" s="14"/>
      <c r="AG25" s="14"/>
      <c r="AH25" s="14"/>
      <c r="AI25" s="6"/>
      <c r="AJ25" s="6"/>
      <c r="AK25" s="6"/>
    </row>
    <row r="26" spans="1:37" x14ac:dyDescent="0.25">
      <c r="A26" s="12">
        <v>13</v>
      </c>
      <c r="B26" s="13">
        <v>43556</v>
      </c>
      <c r="C26" s="14">
        <f t="shared" si="16"/>
        <v>3561.3199999999993</v>
      </c>
      <c r="D26" s="14">
        <f>C$8</f>
        <v>94.36</v>
      </c>
      <c r="E26" s="14">
        <f t="shared" si="6"/>
        <v>79.52</v>
      </c>
      <c r="F26" s="14">
        <f>ROUND(C26*C$5/12,2)</f>
        <v>14.84</v>
      </c>
      <c r="G26" s="20">
        <f>200-C$8-R$2</f>
        <v>43.64</v>
      </c>
      <c r="H26" s="14">
        <f t="shared" si="7"/>
        <v>138</v>
      </c>
      <c r="I26" s="14">
        <f t="shared" si="17"/>
        <v>1561.8400000000001</v>
      </c>
      <c r="J26" s="14">
        <f t="shared" si="18"/>
        <v>232.16000000000003</v>
      </c>
      <c r="K26" s="14">
        <f t="shared" si="10"/>
        <v>3438.1599999999994</v>
      </c>
      <c r="L26" s="15">
        <f t="shared" si="11"/>
        <v>4944.670000000001</v>
      </c>
      <c r="M26" s="14">
        <v>0</v>
      </c>
      <c r="N26" s="17">
        <f>-R$2</f>
        <v>-62</v>
      </c>
      <c r="O26" s="15">
        <f t="shared" si="12"/>
        <v>-806</v>
      </c>
      <c r="P26" s="26">
        <f t="shared" si="0"/>
        <v>3906.5100000000011</v>
      </c>
      <c r="R26" s="17">
        <f>W25</f>
        <v>6207.2083251797512</v>
      </c>
      <c r="S26" s="14">
        <f t="shared" si="13"/>
        <v>33.622378428056436</v>
      </c>
      <c r="T26" s="14">
        <f t="shared" si="14"/>
        <v>6240.8307036078077</v>
      </c>
      <c r="U26" s="14">
        <v>200</v>
      </c>
      <c r="V26" s="14">
        <v>0</v>
      </c>
      <c r="W26" s="15">
        <f>SUM(T26:U26)+V26</f>
        <v>6440.8307036078077</v>
      </c>
      <c r="X26" s="19">
        <f t="shared" si="15"/>
        <v>0</v>
      </c>
      <c r="Y26" s="28">
        <f t="shared" si="2"/>
        <v>0</v>
      </c>
      <c r="Z26" s="15">
        <f t="shared" si="4"/>
        <v>0</v>
      </c>
      <c r="AA26" s="29">
        <f t="shared" si="3"/>
        <v>6440.8307036078077</v>
      </c>
      <c r="AB26" s="14"/>
      <c r="AC26" s="14"/>
      <c r="AD26" s="14"/>
      <c r="AE26" s="14"/>
      <c r="AF26" s="14"/>
      <c r="AG26" s="14"/>
      <c r="AH26" s="14"/>
      <c r="AI26" s="6"/>
      <c r="AJ26" s="6"/>
      <c r="AK26" s="6"/>
    </row>
    <row r="27" spans="1:37" x14ac:dyDescent="0.25">
      <c r="A27" s="12">
        <v>14</v>
      </c>
      <c r="B27" s="13">
        <v>43586</v>
      </c>
      <c r="C27" s="14">
        <f t="shared" si="16"/>
        <v>3438.1599999999994</v>
      </c>
      <c r="D27" s="14">
        <f>C$8</f>
        <v>94.36</v>
      </c>
      <c r="E27" s="14">
        <f t="shared" si="6"/>
        <v>80.03</v>
      </c>
      <c r="F27" s="14">
        <f>ROUND(C27*C$5/12,2)</f>
        <v>14.33</v>
      </c>
      <c r="G27" s="20">
        <f>200-C$8-R$2</f>
        <v>43.64</v>
      </c>
      <c r="H27" s="14">
        <f t="shared" si="7"/>
        <v>138</v>
      </c>
      <c r="I27" s="14">
        <f t="shared" si="17"/>
        <v>1685.5100000000002</v>
      </c>
      <c r="J27" s="14">
        <f t="shared" si="18"/>
        <v>246.49000000000004</v>
      </c>
      <c r="K27" s="14">
        <f t="shared" si="10"/>
        <v>3314.4899999999993</v>
      </c>
      <c r="L27" s="15">
        <f t="shared" si="11"/>
        <v>5068.3400000000011</v>
      </c>
      <c r="M27" s="14">
        <v>0</v>
      </c>
      <c r="N27" s="17">
        <f>-R$2</f>
        <v>-62</v>
      </c>
      <c r="O27" s="15">
        <f t="shared" si="12"/>
        <v>-868</v>
      </c>
      <c r="P27" s="26">
        <f t="shared" si="0"/>
        <v>3953.8500000000008</v>
      </c>
      <c r="R27" s="17">
        <f>W26</f>
        <v>6440.8307036078077</v>
      </c>
      <c r="S27" s="14">
        <f t="shared" si="13"/>
        <v>34.887832977875405</v>
      </c>
      <c r="T27" s="14">
        <f t="shared" si="14"/>
        <v>6475.7185365856831</v>
      </c>
      <c r="U27" s="14">
        <v>200</v>
      </c>
      <c r="V27" s="14">
        <v>0</v>
      </c>
      <c r="W27" s="15">
        <f>SUM(T27:U27)+V27</f>
        <v>6675.7185365856831</v>
      </c>
      <c r="X27" s="19">
        <f t="shared" si="15"/>
        <v>0</v>
      </c>
      <c r="Y27" s="28">
        <f t="shared" si="2"/>
        <v>0</v>
      </c>
      <c r="Z27" s="15">
        <f t="shared" si="4"/>
        <v>0</v>
      </c>
      <c r="AA27" s="29">
        <f t="shared" si="3"/>
        <v>6675.7185365856831</v>
      </c>
      <c r="AB27" s="14"/>
      <c r="AC27" s="14"/>
      <c r="AD27" s="14"/>
      <c r="AE27" s="14"/>
      <c r="AF27" s="14"/>
      <c r="AG27" s="14"/>
      <c r="AH27" s="14"/>
      <c r="AI27" s="6"/>
      <c r="AJ27" s="6"/>
      <c r="AK27" s="6"/>
    </row>
    <row r="28" spans="1:37" x14ac:dyDescent="0.25">
      <c r="A28" s="12">
        <v>15</v>
      </c>
      <c r="B28" s="13">
        <v>43617</v>
      </c>
      <c r="C28" s="14">
        <f t="shared" si="16"/>
        <v>3314.4899999999993</v>
      </c>
      <c r="D28" s="14">
        <f>C$8</f>
        <v>94.36</v>
      </c>
      <c r="E28" s="14">
        <f t="shared" si="6"/>
        <v>80.55</v>
      </c>
      <c r="F28" s="14">
        <f>ROUND(C28*C$5/12,2)</f>
        <v>13.81</v>
      </c>
      <c r="G28" s="20">
        <f>200-C$8-R$2</f>
        <v>43.64</v>
      </c>
      <c r="H28" s="14">
        <f t="shared" si="7"/>
        <v>138</v>
      </c>
      <c r="I28" s="14">
        <f t="shared" si="17"/>
        <v>1809.7000000000003</v>
      </c>
      <c r="J28" s="14">
        <f t="shared" si="18"/>
        <v>260.3</v>
      </c>
      <c r="K28" s="14">
        <f t="shared" si="10"/>
        <v>3190.2999999999993</v>
      </c>
      <c r="L28" s="15">
        <f t="shared" si="11"/>
        <v>5192.5300000000016</v>
      </c>
      <c r="M28" s="14">
        <v>0</v>
      </c>
      <c r="N28" s="17">
        <f>-R$2</f>
        <v>-62</v>
      </c>
      <c r="O28" s="15">
        <f t="shared" si="12"/>
        <v>-930</v>
      </c>
      <c r="P28" s="26">
        <f t="shared" si="0"/>
        <v>4002.2300000000014</v>
      </c>
      <c r="R28" s="17">
        <f>W27</f>
        <v>6675.7185365856831</v>
      </c>
      <c r="S28" s="14">
        <f t="shared" si="13"/>
        <v>36.16014207317221</v>
      </c>
      <c r="T28" s="14">
        <f t="shared" si="14"/>
        <v>6711.8786786588553</v>
      </c>
      <c r="U28" s="14">
        <v>200</v>
      </c>
      <c r="V28" s="14">
        <v>0</v>
      </c>
      <c r="W28" s="15">
        <f>SUM(T28:U28)+V28</f>
        <v>6911.8786786588553</v>
      </c>
      <c r="X28" s="19">
        <f t="shared" si="15"/>
        <v>0</v>
      </c>
      <c r="Y28" s="28">
        <f t="shared" si="2"/>
        <v>0</v>
      </c>
      <c r="Z28" s="15">
        <f t="shared" si="4"/>
        <v>0</v>
      </c>
      <c r="AA28" s="29">
        <f t="shared" si="3"/>
        <v>6911.8786786588553</v>
      </c>
      <c r="AB28" s="14"/>
      <c r="AC28" s="14"/>
      <c r="AD28" s="14"/>
      <c r="AE28" s="14"/>
      <c r="AF28" s="14"/>
      <c r="AG28" s="14"/>
      <c r="AH28" s="14"/>
      <c r="AI28" s="6"/>
      <c r="AJ28" s="6"/>
      <c r="AK28" s="6"/>
    </row>
    <row r="29" spans="1:37" x14ac:dyDescent="0.25">
      <c r="A29" s="12">
        <v>16</v>
      </c>
      <c r="B29" s="13">
        <v>43647</v>
      </c>
      <c r="C29" s="14">
        <f t="shared" si="16"/>
        <v>3190.2999999999993</v>
      </c>
      <c r="D29" s="14">
        <f>C$8</f>
        <v>94.36</v>
      </c>
      <c r="E29" s="14">
        <f t="shared" si="6"/>
        <v>81.069999999999993</v>
      </c>
      <c r="F29" s="14">
        <f>ROUND(C29*C$5/12,2)</f>
        <v>13.29</v>
      </c>
      <c r="G29" s="20">
        <f>200-C$8-R$2</f>
        <v>43.64</v>
      </c>
      <c r="H29" s="14">
        <f t="shared" si="7"/>
        <v>138</v>
      </c>
      <c r="I29" s="14">
        <f t="shared" si="17"/>
        <v>1934.4100000000003</v>
      </c>
      <c r="J29" s="14">
        <f t="shared" si="18"/>
        <v>273.59000000000003</v>
      </c>
      <c r="K29" s="14">
        <f t="shared" si="10"/>
        <v>3065.5899999999992</v>
      </c>
      <c r="L29" s="15">
        <f t="shared" si="11"/>
        <v>5317.2400000000016</v>
      </c>
      <c r="M29" s="14">
        <v>0</v>
      </c>
      <c r="N29" s="17">
        <f>-R$2</f>
        <v>-62</v>
      </c>
      <c r="O29" s="15">
        <f t="shared" si="12"/>
        <v>-992</v>
      </c>
      <c r="P29" s="26">
        <f t="shared" si="0"/>
        <v>4051.6500000000015</v>
      </c>
      <c r="R29" s="17">
        <f>W28</f>
        <v>6911.8786786588553</v>
      </c>
      <c r="S29" s="14">
        <f t="shared" si="13"/>
        <v>37.439342842734732</v>
      </c>
      <c r="T29" s="14">
        <f t="shared" si="14"/>
        <v>6949.31802150159</v>
      </c>
      <c r="U29" s="14">
        <v>200</v>
      </c>
      <c r="V29" s="14">
        <v>0</v>
      </c>
      <c r="W29" s="15">
        <f>SUM(T29:U29)+V29</f>
        <v>7149.31802150159</v>
      </c>
      <c r="X29" s="19">
        <f t="shared" si="15"/>
        <v>0</v>
      </c>
      <c r="Y29" s="28">
        <f t="shared" si="2"/>
        <v>0</v>
      </c>
      <c r="Z29" s="15">
        <f t="shared" si="4"/>
        <v>0</v>
      </c>
      <c r="AA29" s="29">
        <f t="shared" si="3"/>
        <v>7149.31802150159</v>
      </c>
      <c r="AB29" s="14"/>
      <c r="AC29" s="14"/>
      <c r="AD29" s="14"/>
      <c r="AE29" s="14"/>
      <c r="AF29" s="14"/>
      <c r="AG29" s="14"/>
      <c r="AH29" s="14"/>
      <c r="AI29" s="6"/>
      <c r="AJ29" s="6"/>
      <c r="AK29" s="6"/>
    </row>
    <row r="30" spans="1:37" x14ac:dyDescent="0.25">
      <c r="A30" s="12">
        <v>17</v>
      </c>
      <c r="B30" s="13">
        <v>43678</v>
      </c>
      <c r="C30" s="14">
        <f t="shared" si="16"/>
        <v>3065.5899999999992</v>
      </c>
      <c r="D30" s="14">
        <f>C$8</f>
        <v>94.36</v>
      </c>
      <c r="E30" s="14">
        <f t="shared" si="6"/>
        <v>81.59</v>
      </c>
      <c r="F30" s="14">
        <f>ROUND(C30*C$5/12,2)</f>
        <v>12.77</v>
      </c>
      <c r="G30" s="20">
        <f>200-C$8-R$2</f>
        <v>43.64</v>
      </c>
      <c r="H30" s="14">
        <f t="shared" si="7"/>
        <v>138</v>
      </c>
      <c r="I30" s="14">
        <f t="shared" si="17"/>
        <v>2059.6400000000003</v>
      </c>
      <c r="J30" s="14">
        <f t="shared" si="18"/>
        <v>286.36</v>
      </c>
      <c r="K30" s="14">
        <f t="shared" si="10"/>
        <v>2940.3599999999992</v>
      </c>
      <c r="L30" s="15">
        <f t="shared" si="11"/>
        <v>5442.4700000000021</v>
      </c>
      <c r="M30" s="14">
        <v>0</v>
      </c>
      <c r="N30" s="17">
        <f>-R$2</f>
        <v>-62</v>
      </c>
      <c r="O30" s="15">
        <f t="shared" si="12"/>
        <v>-1054</v>
      </c>
      <c r="P30" s="26">
        <f t="shared" si="0"/>
        <v>4102.1100000000024</v>
      </c>
      <c r="R30" s="17">
        <f>W29</f>
        <v>7149.31802150159</v>
      </c>
      <c r="S30" s="14">
        <f t="shared" si="13"/>
        <v>38.725472616466504</v>
      </c>
      <c r="T30" s="14">
        <f t="shared" si="14"/>
        <v>7188.0434941180565</v>
      </c>
      <c r="U30" s="14">
        <v>200</v>
      </c>
      <c r="V30" s="14">
        <v>0</v>
      </c>
      <c r="W30" s="15">
        <f>SUM(T30:U30)+V30</f>
        <v>7388.0434941180565</v>
      </c>
      <c r="X30" s="19">
        <f t="shared" si="15"/>
        <v>0</v>
      </c>
      <c r="Y30" s="28">
        <f t="shared" si="2"/>
        <v>0</v>
      </c>
      <c r="Z30" s="15">
        <f t="shared" si="4"/>
        <v>0</v>
      </c>
      <c r="AA30" s="29">
        <f t="shared" si="3"/>
        <v>7388.0434941180565</v>
      </c>
      <c r="AB30" s="14"/>
      <c r="AC30" s="14"/>
      <c r="AD30" s="14"/>
      <c r="AE30" s="14"/>
      <c r="AF30" s="14"/>
      <c r="AG30" s="14"/>
      <c r="AH30" s="14"/>
      <c r="AI30" s="6"/>
      <c r="AJ30" s="6"/>
      <c r="AK30" s="6"/>
    </row>
    <row r="31" spans="1:37" x14ac:dyDescent="0.25">
      <c r="A31" s="12">
        <v>18</v>
      </c>
      <c r="B31" s="13">
        <v>43709</v>
      </c>
      <c r="C31" s="14">
        <f t="shared" si="16"/>
        <v>2940.3599999999992</v>
      </c>
      <c r="D31" s="14">
        <f>C$8</f>
        <v>94.36</v>
      </c>
      <c r="E31" s="14">
        <f t="shared" si="6"/>
        <v>82.11</v>
      </c>
      <c r="F31" s="14">
        <f>ROUND(C31*C$5/12,2)</f>
        <v>12.25</v>
      </c>
      <c r="G31" s="20">
        <f>200-C$8-R$2</f>
        <v>43.64</v>
      </c>
      <c r="H31" s="14">
        <f t="shared" si="7"/>
        <v>138</v>
      </c>
      <c r="I31" s="14">
        <f t="shared" si="17"/>
        <v>2185.3900000000003</v>
      </c>
      <c r="J31" s="14">
        <f t="shared" si="18"/>
        <v>298.61</v>
      </c>
      <c r="K31" s="14">
        <f t="shared" si="10"/>
        <v>2814.6099999999992</v>
      </c>
      <c r="L31" s="15">
        <f t="shared" si="11"/>
        <v>5568.2200000000021</v>
      </c>
      <c r="M31" s="14">
        <v>0</v>
      </c>
      <c r="N31" s="17">
        <f>-R$2</f>
        <v>-62</v>
      </c>
      <c r="O31" s="15">
        <f t="shared" si="12"/>
        <v>-1116</v>
      </c>
      <c r="P31" s="26">
        <f t="shared" si="0"/>
        <v>4153.6100000000024</v>
      </c>
      <c r="R31" s="17">
        <f>W30</f>
        <v>7388.0434941180565</v>
      </c>
      <c r="S31" s="14">
        <f t="shared" si="13"/>
        <v>40.018568926472653</v>
      </c>
      <c r="T31" s="14">
        <f t="shared" si="14"/>
        <v>7428.0620630445292</v>
      </c>
      <c r="U31" s="14">
        <v>200</v>
      </c>
      <c r="V31" s="14">
        <v>0</v>
      </c>
      <c r="W31" s="15">
        <f>SUM(T31:U31)+V31</f>
        <v>7628.0620630445292</v>
      </c>
      <c r="X31" s="19">
        <f t="shared" si="15"/>
        <v>0</v>
      </c>
      <c r="Y31" s="28">
        <f t="shared" si="2"/>
        <v>0</v>
      </c>
      <c r="Z31" s="15">
        <f t="shared" si="4"/>
        <v>0</v>
      </c>
      <c r="AA31" s="29">
        <f t="shared" si="3"/>
        <v>7628.0620630445292</v>
      </c>
      <c r="AB31" s="14"/>
      <c r="AC31" s="14"/>
      <c r="AD31" s="14"/>
      <c r="AE31" s="14"/>
      <c r="AF31" s="14"/>
      <c r="AG31" s="14"/>
      <c r="AH31" s="14"/>
      <c r="AI31" s="6"/>
      <c r="AJ31" s="6"/>
      <c r="AK31" s="6"/>
    </row>
    <row r="32" spans="1:37" x14ac:dyDescent="0.25">
      <c r="A32" s="12">
        <v>19</v>
      </c>
      <c r="B32" s="13">
        <v>43739</v>
      </c>
      <c r="C32" s="14">
        <f t="shared" si="16"/>
        <v>2814.6099999999992</v>
      </c>
      <c r="D32" s="14">
        <f>C$8</f>
        <v>94.36</v>
      </c>
      <c r="E32" s="14">
        <f t="shared" si="6"/>
        <v>82.63</v>
      </c>
      <c r="F32" s="14">
        <f>ROUND(C32*C$5/12,2)</f>
        <v>11.73</v>
      </c>
      <c r="G32" s="20">
        <f>200-C$8-R$2</f>
        <v>43.64</v>
      </c>
      <c r="H32" s="14">
        <f t="shared" si="7"/>
        <v>138</v>
      </c>
      <c r="I32" s="14">
        <f t="shared" si="17"/>
        <v>2311.6600000000003</v>
      </c>
      <c r="J32" s="14">
        <f t="shared" si="18"/>
        <v>310.34000000000003</v>
      </c>
      <c r="K32" s="14">
        <f t="shared" si="10"/>
        <v>2688.3399999999992</v>
      </c>
      <c r="L32" s="15">
        <f t="shared" si="11"/>
        <v>5694.4900000000025</v>
      </c>
      <c r="M32" s="14">
        <v>0</v>
      </c>
      <c r="N32" s="17">
        <f>-R$2</f>
        <v>-62</v>
      </c>
      <c r="O32" s="15">
        <f t="shared" si="12"/>
        <v>-1178</v>
      </c>
      <c r="P32" s="26">
        <f t="shared" si="0"/>
        <v>4206.1500000000024</v>
      </c>
      <c r="R32" s="17">
        <f>W31</f>
        <v>7628.0620630445292</v>
      </c>
      <c r="S32" s="14">
        <f t="shared" si="13"/>
        <v>41.318669508157654</v>
      </c>
      <c r="T32" s="14">
        <f t="shared" si="14"/>
        <v>7669.3807325526868</v>
      </c>
      <c r="U32" s="14">
        <v>200</v>
      </c>
      <c r="V32" s="14">
        <v>0</v>
      </c>
      <c r="W32" s="15">
        <f>SUM(T32:U32)+V32</f>
        <v>7869.3807325526868</v>
      </c>
      <c r="X32" s="19">
        <f t="shared" si="15"/>
        <v>0</v>
      </c>
      <c r="Y32" s="28">
        <f t="shared" si="2"/>
        <v>0</v>
      </c>
      <c r="Z32" s="15">
        <f t="shared" si="4"/>
        <v>0</v>
      </c>
      <c r="AA32" s="29">
        <f t="shared" si="3"/>
        <v>7869.3807325526868</v>
      </c>
      <c r="AB32" s="14"/>
      <c r="AC32" s="14"/>
      <c r="AD32" s="14"/>
      <c r="AE32" s="14"/>
      <c r="AF32" s="14"/>
      <c r="AG32" s="14"/>
      <c r="AH32" s="14"/>
      <c r="AI32" s="6"/>
      <c r="AJ32" s="6"/>
      <c r="AK32" s="6"/>
    </row>
    <row r="33" spans="1:37" x14ac:dyDescent="0.25">
      <c r="A33" s="12">
        <v>20</v>
      </c>
      <c r="B33" s="13">
        <v>43770</v>
      </c>
      <c r="C33" s="14">
        <f t="shared" si="16"/>
        <v>2688.3399999999992</v>
      </c>
      <c r="D33" s="14">
        <f>C$8</f>
        <v>94.36</v>
      </c>
      <c r="E33" s="14">
        <f t="shared" si="6"/>
        <v>83.16</v>
      </c>
      <c r="F33" s="14">
        <f>ROUND(C33*C$5/12,2)</f>
        <v>11.2</v>
      </c>
      <c r="G33" s="20">
        <f>200-C$8-R$2</f>
        <v>43.64</v>
      </c>
      <c r="H33" s="14">
        <f t="shared" si="7"/>
        <v>138</v>
      </c>
      <c r="I33" s="14">
        <f t="shared" si="17"/>
        <v>2438.4600000000005</v>
      </c>
      <c r="J33" s="14">
        <f t="shared" si="18"/>
        <v>321.54000000000002</v>
      </c>
      <c r="K33" s="14">
        <f t="shared" si="10"/>
        <v>2561.5399999999995</v>
      </c>
      <c r="L33" s="15">
        <f t="shared" si="11"/>
        <v>5821.2900000000027</v>
      </c>
      <c r="M33" s="14">
        <v>0</v>
      </c>
      <c r="N33" s="17">
        <f>-R$2</f>
        <v>-62</v>
      </c>
      <c r="O33" s="15">
        <f t="shared" si="12"/>
        <v>-1240</v>
      </c>
      <c r="P33" s="26">
        <f t="shared" si="0"/>
        <v>4259.7500000000027</v>
      </c>
      <c r="R33" s="17">
        <f>W32</f>
        <v>7869.3807325526868</v>
      </c>
      <c r="S33" s="14">
        <f t="shared" si="13"/>
        <v>42.625812301326732</v>
      </c>
      <c r="T33" s="14">
        <f t="shared" si="14"/>
        <v>7912.0065448540136</v>
      </c>
      <c r="U33" s="14">
        <v>200</v>
      </c>
      <c r="V33" s="14">
        <v>0</v>
      </c>
      <c r="W33" s="15">
        <f>SUM(T33:U33)+V33</f>
        <v>8112.0065448540136</v>
      </c>
      <c r="X33" s="19">
        <f t="shared" si="15"/>
        <v>0</v>
      </c>
      <c r="Y33" s="28">
        <f t="shared" si="2"/>
        <v>0</v>
      </c>
      <c r="Z33" s="15">
        <f t="shared" si="4"/>
        <v>0</v>
      </c>
      <c r="AA33" s="29">
        <f t="shared" si="3"/>
        <v>8112.0065448540136</v>
      </c>
      <c r="AB33" s="14"/>
      <c r="AC33" s="14"/>
      <c r="AD33" s="14"/>
      <c r="AE33" s="14"/>
      <c r="AF33" s="14"/>
      <c r="AG33" s="14"/>
      <c r="AH33" s="14"/>
      <c r="AI33" s="6"/>
      <c r="AJ33" s="6"/>
      <c r="AK33" s="6"/>
    </row>
    <row r="34" spans="1:37" x14ac:dyDescent="0.25">
      <c r="A34" s="12">
        <v>21</v>
      </c>
      <c r="B34" s="13">
        <v>43800</v>
      </c>
      <c r="C34" s="14">
        <f t="shared" si="16"/>
        <v>2561.5399999999995</v>
      </c>
      <c r="D34" s="14">
        <f>C$8</f>
        <v>94.36</v>
      </c>
      <c r="E34" s="14">
        <f t="shared" si="6"/>
        <v>83.69</v>
      </c>
      <c r="F34" s="14">
        <f>ROUND(C34*C$5/12,2)</f>
        <v>10.67</v>
      </c>
      <c r="G34" s="20">
        <f>200-C$8-R$2</f>
        <v>43.64</v>
      </c>
      <c r="H34" s="14">
        <f t="shared" si="7"/>
        <v>138</v>
      </c>
      <c r="I34" s="14">
        <f t="shared" si="17"/>
        <v>2565.7900000000004</v>
      </c>
      <c r="J34" s="14">
        <f t="shared" si="18"/>
        <v>332.21000000000004</v>
      </c>
      <c r="K34" s="14">
        <f t="shared" si="10"/>
        <v>2434.2099999999996</v>
      </c>
      <c r="L34" s="15">
        <f t="shared" si="11"/>
        <v>5948.6200000000026</v>
      </c>
      <c r="M34" s="14">
        <v>0</v>
      </c>
      <c r="N34" s="17">
        <f>-R$2</f>
        <v>-62</v>
      </c>
      <c r="O34" s="15">
        <f t="shared" si="12"/>
        <v>-1302</v>
      </c>
      <c r="P34" s="26">
        <f t="shared" si="0"/>
        <v>4314.4100000000026</v>
      </c>
      <c r="R34" s="17">
        <f>W33</f>
        <v>8112.0065448540136</v>
      </c>
      <c r="S34" s="14">
        <f t="shared" si="13"/>
        <v>43.940035451291806</v>
      </c>
      <c r="T34" s="14">
        <f t="shared" si="14"/>
        <v>8155.9465803053054</v>
      </c>
      <c r="U34" s="14">
        <v>200</v>
      </c>
      <c r="V34" s="14">
        <v>0</v>
      </c>
      <c r="W34" s="15">
        <f>SUM(T34:U34)+V34</f>
        <v>8355.9465803053063</v>
      </c>
      <c r="X34" s="19">
        <f t="shared" si="15"/>
        <v>0</v>
      </c>
      <c r="Y34" s="28">
        <f t="shared" si="2"/>
        <v>0</v>
      </c>
      <c r="Z34" s="15">
        <f t="shared" si="4"/>
        <v>0</v>
      </c>
      <c r="AA34" s="29">
        <f t="shared" si="3"/>
        <v>8355.9465803053063</v>
      </c>
      <c r="AB34" s="14"/>
      <c r="AC34" s="14"/>
      <c r="AD34" s="14"/>
      <c r="AE34" s="14"/>
      <c r="AF34" s="14"/>
      <c r="AG34" s="14"/>
      <c r="AH34" s="14"/>
      <c r="AI34" s="6"/>
      <c r="AJ34" s="6"/>
      <c r="AK34" s="6"/>
    </row>
    <row r="35" spans="1:37" x14ac:dyDescent="0.25">
      <c r="A35" s="12">
        <v>22</v>
      </c>
      <c r="B35" s="13">
        <v>43831</v>
      </c>
      <c r="C35" s="14">
        <f t="shared" si="16"/>
        <v>2434.2099999999996</v>
      </c>
      <c r="D35" s="14">
        <f>C$8</f>
        <v>94.36</v>
      </c>
      <c r="E35" s="14">
        <f t="shared" si="6"/>
        <v>84.22</v>
      </c>
      <c r="F35" s="14">
        <f>ROUND(C35*C$5/12,2)</f>
        <v>10.14</v>
      </c>
      <c r="G35" s="20">
        <f>200-C$8-R$2</f>
        <v>43.64</v>
      </c>
      <c r="H35" s="14">
        <f t="shared" si="7"/>
        <v>138</v>
      </c>
      <c r="I35" s="14">
        <f t="shared" si="17"/>
        <v>2693.6500000000005</v>
      </c>
      <c r="J35" s="14">
        <f t="shared" si="18"/>
        <v>342.35</v>
      </c>
      <c r="K35" s="14">
        <f t="shared" si="10"/>
        <v>2306.35</v>
      </c>
      <c r="L35" s="15">
        <f t="shared" si="11"/>
        <v>6076.4800000000032</v>
      </c>
      <c r="M35" s="14">
        <v>0</v>
      </c>
      <c r="N35" s="17">
        <f>-R$2</f>
        <v>-62</v>
      </c>
      <c r="O35" s="15">
        <f t="shared" si="12"/>
        <v>-1364</v>
      </c>
      <c r="P35" s="26">
        <f t="shared" si="0"/>
        <v>4370.1300000000028</v>
      </c>
      <c r="R35" s="17">
        <f>W34</f>
        <v>8355.9465803053063</v>
      </c>
      <c r="S35" s="14">
        <f t="shared" si="13"/>
        <v>45.261377309987438</v>
      </c>
      <c r="T35" s="14">
        <f t="shared" si="14"/>
        <v>8401.2079576152937</v>
      </c>
      <c r="U35" s="14">
        <v>200</v>
      </c>
      <c r="V35" s="14">
        <v>0</v>
      </c>
      <c r="W35" s="15">
        <f>SUM(T35:U35)+V35</f>
        <v>8601.2079576152937</v>
      </c>
      <c r="X35" s="19">
        <f t="shared" si="15"/>
        <v>0</v>
      </c>
      <c r="Y35" s="28">
        <f t="shared" si="2"/>
        <v>0</v>
      </c>
      <c r="Z35" s="15">
        <f t="shared" si="4"/>
        <v>0</v>
      </c>
      <c r="AA35" s="29">
        <f t="shared" si="3"/>
        <v>8601.2079576152937</v>
      </c>
      <c r="AB35" s="14"/>
      <c r="AC35" s="14"/>
      <c r="AD35" s="14"/>
      <c r="AE35" s="14"/>
      <c r="AF35" s="14"/>
      <c r="AG35" s="14"/>
      <c r="AH35" s="14"/>
      <c r="AI35" s="6"/>
      <c r="AJ35" s="6"/>
      <c r="AK35" s="6"/>
    </row>
    <row r="36" spans="1:37" x14ac:dyDescent="0.25">
      <c r="A36" s="12">
        <v>23</v>
      </c>
      <c r="B36" s="13">
        <v>43862</v>
      </c>
      <c r="C36" s="14">
        <f t="shared" si="16"/>
        <v>2306.35</v>
      </c>
      <c r="D36" s="14">
        <f>C$8</f>
        <v>94.36</v>
      </c>
      <c r="E36" s="14">
        <f t="shared" si="6"/>
        <v>84.75</v>
      </c>
      <c r="F36" s="14">
        <f>ROUND(C36*C$5/12,2)</f>
        <v>9.61</v>
      </c>
      <c r="G36" s="20">
        <f>200-C$8-R$2</f>
        <v>43.64</v>
      </c>
      <c r="H36" s="14">
        <f t="shared" si="7"/>
        <v>138</v>
      </c>
      <c r="I36" s="14">
        <f t="shared" si="17"/>
        <v>2822.0400000000004</v>
      </c>
      <c r="J36" s="14">
        <f t="shared" si="18"/>
        <v>351.96000000000004</v>
      </c>
      <c r="K36" s="14">
        <f t="shared" si="10"/>
        <v>2177.96</v>
      </c>
      <c r="L36" s="15">
        <f t="shared" si="11"/>
        <v>6204.8700000000035</v>
      </c>
      <c r="M36" s="14">
        <v>0</v>
      </c>
      <c r="N36" s="17">
        <f>-R$2</f>
        <v>-62</v>
      </c>
      <c r="O36" s="15">
        <f t="shared" si="12"/>
        <v>-1426</v>
      </c>
      <c r="P36" s="26">
        <f t="shared" si="0"/>
        <v>4426.9100000000035</v>
      </c>
      <c r="R36" s="17">
        <f>W35</f>
        <v>8601.2079576152937</v>
      </c>
      <c r="S36" s="14">
        <f t="shared" si="13"/>
        <v>46.589876437083149</v>
      </c>
      <c r="T36" s="14">
        <f t="shared" si="14"/>
        <v>8647.7978340523769</v>
      </c>
      <c r="U36" s="14">
        <v>0</v>
      </c>
      <c r="V36" s="14">
        <v>-8500</v>
      </c>
      <c r="W36" s="15">
        <f>SUM(T36:U36)+V36</f>
        <v>147.79783405237686</v>
      </c>
      <c r="X36" s="19">
        <f>IF(X35&gt;0,X35,IF(V36&lt;0,-V36,0))</f>
        <v>8500</v>
      </c>
      <c r="Y36" s="28">
        <f t="shared" si="2"/>
        <v>-67.58</v>
      </c>
      <c r="Z36" s="15">
        <f t="shared" si="4"/>
        <v>-67.58</v>
      </c>
      <c r="AA36" s="29">
        <f t="shared" si="3"/>
        <v>8580.2178340523769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x14ac:dyDescent="0.25">
      <c r="A37" s="12">
        <v>24</v>
      </c>
      <c r="B37" s="13">
        <v>43891</v>
      </c>
      <c r="C37" s="14">
        <f t="shared" si="16"/>
        <v>2177.96</v>
      </c>
      <c r="D37" s="14">
        <f>C$8</f>
        <v>94.36</v>
      </c>
      <c r="E37" s="14">
        <f t="shared" si="6"/>
        <v>85.289999999999992</v>
      </c>
      <c r="F37" s="14">
        <f>ROUND(C37*C$5/12,2)</f>
        <v>9.07</v>
      </c>
      <c r="G37" s="20">
        <f>200-C$8-R$2</f>
        <v>43.64</v>
      </c>
      <c r="H37" s="14">
        <f t="shared" si="7"/>
        <v>138</v>
      </c>
      <c r="I37" s="14">
        <f t="shared" si="17"/>
        <v>2950.9700000000003</v>
      </c>
      <c r="J37" s="14">
        <f t="shared" si="18"/>
        <v>361.03000000000003</v>
      </c>
      <c r="K37" s="14">
        <f t="shared" si="10"/>
        <v>2049.0300000000002</v>
      </c>
      <c r="L37" s="15">
        <f t="shared" si="11"/>
        <v>6333.8000000000038</v>
      </c>
      <c r="M37" s="14">
        <v>0</v>
      </c>
      <c r="N37" s="17">
        <f>-R$2</f>
        <v>-62</v>
      </c>
      <c r="O37" s="15">
        <f t="shared" si="12"/>
        <v>-1488</v>
      </c>
      <c r="P37" s="26">
        <f t="shared" si="0"/>
        <v>4484.7700000000041</v>
      </c>
      <c r="R37" s="17">
        <f>W36</f>
        <v>147.79783405237686</v>
      </c>
      <c r="S37" s="14">
        <f t="shared" si="13"/>
        <v>0.80057160111704206</v>
      </c>
      <c r="T37" s="14">
        <f t="shared" si="14"/>
        <v>148.5984056534939</v>
      </c>
      <c r="U37" s="14">
        <v>0</v>
      </c>
      <c r="V37" s="14">
        <v>0</v>
      </c>
      <c r="W37" s="15">
        <f>SUM(T37:U37)+V37</f>
        <v>148.5984056534939</v>
      </c>
      <c r="X37" s="19">
        <f>IF(X36&gt;0,X36,IF(V37&lt;0,-V37,0))</f>
        <v>8500</v>
      </c>
      <c r="Y37" s="28">
        <f t="shared" si="2"/>
        <v>-67.58</v>
      </c>
      <c r="Z37" s="15">
        <f t="shared" si="4"/>
        <v>-135.16</v>
      </c>
      <c r="AA37" s="29">
        <f t="shared" si="3"/>
        <v>8513.4384056534946</v>
      </c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x14ac:dyDescent="0.25">
      <c r="A38" s="12">
        <v>25</v>
      </c>
      <c r="B38" s="13">
        <v>43922</v>
      </c>
      <c r="C38" s="14">
        <f t="shared" si="16"/>
        <v>2049.0300000000002</v>
      </c>
      <c r="D38" s="14">
        <f>C$8</f>
        <v>94.36</v>
      </c>
      <c r="E38" s="14">
        <f t="shared" si="6"/>
        <v>85.82</v>
      </c>
      <c r="F38" s="14">
        <f>ROUND(C38*C$5/12,2)</f>
        <v>8.5399999999999991</v>
      </c>
      <c r="G38" s="20">
        <f>200-C$8-R$2</f>
        <v>43.64</v>
      </c>
      <c r="H38" s="14">
        <f t="shared" si="7"/>
        <v>138</v>
      </c>
      <c r="I38" s="14">
        <f t="shared" si="17"/>
        <v>3080.4300000000003</v>
      </c>
      <c r="J38" s="14">
        <f t="shared" si="18"/>
        <v>369.57000000000005</v>
      </c>
      <c r="K38" s="14">
        <f t="shared" si="10"/>
        <v>1919.5700000000002</v>
      </c>
      <c r="L38" s="15">
        <f t="shared" si="11"/>
        <v>6463.2600000000039</v>
      </c>
      <c r="M38" s="14">
        <v>0</v>
      </c>
      <c r="N38" s="17">
        <f>-R$2</f>
        <v>-62</v>
      </c>
      <c r="O38" s="15">
        <f t="shared" si="12"/>
        <v>-1550</v>
      </c>
      <c r="P38" s="26">
        <f t="shared" si="0"/>
        <v>4543.6900000000041</v>
      </c>
      <c r="R38" s="17">
        <f>W37</f>
        <v>148.5984056534939</v>
      </c>
      <c r="S38" s="14">
        <f t="shared" si="13"/>
        <v>0.80490803062309624</v>
      </c>
      <c r="T38" s="14">
        <f t="shared" si="14"/>
        <v>149.40331368411699</v>
      </c>
      <c r="U38" s="14">
        <v>0</v>
      </c>
      <c r="V38" s="14">
        <v>0</v>
      </c>
      <c r="W38" s="15">
        <f>SUM(T38:U38)+V38</f>
        <v>149.40331368411699</v>
      </c>
      <c r="X38" s="19">
        <f t="shared" ref="X38:X45" si="19">IF(X37&gt;0,X37,IF(V38&lt;0,-V38,0))</f>
        <v>8500</v>
      </c>
      <c r="Y38" s="28">
        <f t="shared" si="2"/>
        <v>-67.58</v>
      </c>
      <c r="Z38" s="15">
        <f t="shared" si="4"/>
        <v>-202.74</v>
      </c>
      <c r="AA38" s="29">
        <f t="shared" si="3"/>
        <v>8446.6633136841174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25">
      <c r="A39" s="12">
        <v>26</v>
      </c>
      <c r="B39" s="13">
        <v>43952</v>
      </c>
      <c r="C39" s="14">
        <f>K38</f>
        <v>1919.5700000000002</v>
      </c>
      <c r="D39" s="14">
        <f>C$8</f>
        <v>94.36</v>
      </c>
      <c r="E39" s="14">
        <f t="shared" si="6"/>
        <v>86.36</v>
      </c>
      <c r="F39" s="14">
        <f>ROUND(C39*C$5/12,2)</f>
        <v>8</v>
      </c>
      <c r="G39" s="20">
        <f>200-C$8-R$2</f>
        <v>43.64</v>
      </c>
      <c r="H39" s="14">
        <f>IF(K38&lt;1,0,D39+G39)</f>
        <v>138</v>
      </c>
      <c r="I39" s="14">
        <f>E39+G39+I38</f>
        <v>3210.4300000000003</v>
      </c>
      <c r="J39" s="14">
        <f>F39+J38</f>
        <v>377.57000000000005</v>
      </c>
      <c r="K39" s="14">
        <f>IF(K38&lt;1,0,C39-E39-G39)</f>
        <v>1789.5700000000002</v>
      </c>
      <c r="L39" s="15">
        <f>IF(K37&lt;=0,8500,L38+E39+G39)</f>
        <v>6593.2600000000039</v>
      </c>
      <c r="M39" s="14">
        <v>0</v>
      </c>
      <c r="N39" s="17">
        <f>-R$2</f>
        <v>-62</v>
      </c>
      <c r="O39" s="15">
        <f>N39+O38</f>
        <v>-1612</v>
      </c>
      <c r="P39" s="26">
        <f t="shared" si="0"/>
        <v>4603.6900000000041</v>
      </c>
      <c r="R39" s="17">
        <f>W38</f>
        <v>149.40331368411699</v>
      </c>
      <c r="S39" s="14">
        <f t="shared" si="13"/>
        <v>0.80926794912230093</v>
      </c>
      <c r="T39" s="14">
        <f t="shared" si="14"/>
        <v>150.2125816332393</v>
      </c>
      <c r="U39" s="14">
        <v>0</v>
      </c>
      <c r="V39" s="14">
        <v>0</v>
      </c>
      <c r="W39" s="15">
        <f>SUM(T39:U39)+V39</f>
        <v>150.2125816332393</v>
      </c>
      <c r="X39" s="19">
        <f t="shared" si="19"/>
        <v>8500</v>
      </c>
      <c r="Y39" s="28">
        <f t="shared" si="2"/>
        <v>-67.58</v>
      </c>
      <c r="Z39" s="15">
        <f t="shared" si="4"/>
        <v>-270.32</v>
      </c>
      <c r="AA39" s="29">
        <f t="shared" si="3"/>
        <v>8379.8925816332394</v>
      </c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x14ac:dyDescent="0.25">
      <c r="A40" s="12">
        <v>27</v>
      </c>
      <c r="B40" s="13">
        <v>43983</v>
      </c>
      <c r="C40" s="14">
        <f t="shared" si="16"/>
        <v>1789.5700000000002</v>
      </c>
      <c r="D40" s="14">
        <f>C$8</f>
        <v>94.36</v>
      </c>
      <c r="E40" s="14">
        <f t="shared" si="6"/>
        <v>86.9</v>
      </c>
      <c r="F40" s="14">
        <f>ROUND(C40*C$5/12,2)</f>
        <v>7.46</v>
      </c>
      <c r="G40" s="20">
        <f>200-C$8-R$2</f>
        <v>43.64</v>
      </c>
      <c r="H40" s="14">
        <f t="shared" si="7"/>
        <v>138</v>
      </c>
      <c r="I40" s="14">
        <f t="shared" si="17"/>
        <v>3340.9700000000003</v>
      </c>
      <c r="J40" s="14">
        <f t="shared" si="18"/>
        <v>385.03000000000003</v>
      </c>
      <c r="K40" s="14">
        <f t="shared" si="10"/>
        <v>1659.03</v>
      </c>
      <c r="L40" s="15">
        <f>IF(K38&lt;=0,8500,L39+E40+G40)</f>
        <v>6723.8000000000038</v>
      </c>
      <c r="M40" s="14">
        <v>0</v>
      </c>
      <c r="N40" s="17">
        <f>-R$2</f>
        <v>-62</v>
      </c>
      <c r="O40" s="15">
        <f t="shared" si="12"/>
        <v>-1674</v>
      </c>
      <c r="P40" s="26">
        <f t="shared" si="0"/>
        <v>4664.7700000000041</v>
      </c>
      <c r="R40" s="17">
        <f>W39</f>
        <v>150.2125816332393</v>
      </c>
      <c r="S40" s="14">
        <f t="shared" si="13"/>
        <v>0.81365148384671215</v>
      </c>
      <c r="T40" s="14">
        <f t="shared" si="14"/>
        <v>151.02623311708601</v>
      </c>
      <c r="U40" s="14">
        <v>0</v>
      </c>
      <c r="V40" s="14">
        <v>0</v>
      </c>
      <c r="W40" s="15">
        <f>SUM(T40:U40)+V40</f>
        <v>151.02623311708601</v>
      </c>
      <c r="X40" s="19">
        <f t="shared" si="19"/>
        <v>8500</v>
      </c>
      <c r="Y40" s="28">
        <f t="shared" si="2"/>
        <v>-67.58</v>
      </c>
      <c r="Z40" s="15">
        <f t="shared" si="4"/>
        <v>-337.9</v>
      </c>
      <c r="AA40" s="29">
        <f t="shared" si="3"/>
        <v>8313.1262331170856</v>
      </c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x14ac:dyDescent="0.25">
      <c r="A41" s="12">
        <v>28</v>
      </c>
      <c r="B41" s="13">
        <v>44013</v>
      </c>
      <c r="C41" s="14">
        <f t="shared" si="16"/>
        <v>1659.03</v>
      </c>
      <c r="D41" s="14">
        <f>C$8</f>
        <v>94.36</v>
      </c>
      <c r="E41" s="14">
        <f t="shared" si="6"/>
        <v>87.45</v>
      </c>
      <c r="F41" s="14">
        <f>ROUND(C41*C$5/12,2)</f>
        <v>6.91</v>
      </c>
      <c r="G41" s="20">
        <f>200-C$8-R$2</f>
        <v>43.64</v>
      </c>
      <c r="H41" s="14">
        <f t="shared" si="7"/>
        <v>138</v>
      </c>
      <c r="I41" s="14">
        <f t="shared" si="17"/>
        <v>3472.0600000000004</v>
      </c>
      <c r="J41" s="14">
        <f t="shared" si="18"/>
        <v>391.94000000000005</v>
      </c>
      <c r="K41" s="14">
        <f t="shared" si="10"/>
        <v>1527.9399999999998</v>
      </c>
      <c r="L41" s="15">
        <f t="shared" si="11"/>
        <v>6854.890000000004</v>
      </c>
      <c r="M41" s="14">
        <v>0</v>
      </c>
      <c r="N41" s="17">
        <f>-R$2</f>
        <v>-62</v>
      </c>
      <c r="O41" s="15">
        <f t="shared" si="12"/>
        <v>-1736</v>
      </c>
      <c r="P41" s="26">
        <f t="shared" si="0"/>
        <v>4726.9500000000044</v>
      </c>
      <c r="R41" s="17">
        <f>W40</f>
        <v>151.02623311708601</v>
      </c>
      <c r="S41" s="14">
        <f t="shared" si="13"/>
        <v>0.81805876271755551</v>
      </c>
      <c r="T41" s="14">
        <f t="shared" si="14"/>
        <v>151.84429187980356</v>
      </c>
      <c r="U41" s="14">
        <v>0</v>
      </c>
      <c r="V41" s="14">
        <v>0</v>
      </c>
      <c r="W41" s="15">
        <f>SUM(T41:U41)+V41</f>
        <v>151.84429187980356</v>
      </c>
      <c r="X41" s="19">
        <f t="shared" si="19"/>
        <v>8500</v>
      </c>
      <c r="Y41" s="28">
        <f t="shared" si="2"/>
        <v>-67.58</v>
      </c>
      <c r="Z41" s="15">
        <f t="shared" si="4"/>
        <v>-405.47999999999996</v>
      </c>
      <c r="AA41" s="29">
        <f t="shared" si="3"/>
        <v>8246.3642918798032</v>
      </c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x14ac:dyDescent="0.25">
      <c r="A42" s="12">
        <v>29</v>
      </c>
      <c r="B42" s="13">
        <v>44044</v>
      </c>
      <c r="C42" s="14">
        <f t="shared" si="16"/>
        <v>1527.9399999999998</v>
      </c>
      <c r="D42" s="14">
        <f>C$8</f>
        <v>94.36</v>
      </c>
      <c r="E42" s="14">
        <f t="shared" si="6"/>
        <v>87.99</v>
      </c>
      <c r="F42" s="14">
        <f>ROUND(C42*C$5/12,2)</f>
        <v>6.37</v>
      </c>
      <c r="G42" s="20">
        <f>200-C$8-R$2</f>
        <v>43.64</v>
      </c>
      <c r="H42" s="14">
        <f t="shared" si="7"/>
        <v>138</v>
      </c>
      <c r="I42" s="14">
        <f t="shared" si="17"/>
        <v>3603.6900000000005</v>
      </c>
      <c r="J42" s="14">
        <f t="shared" si="18"/>
        <v>398.31000000000006</v>
      </c>
      <c r="K42" s="14">
        <f t="shared" si="10"/>
        <v>1396.3099999999997</v>
      </c>
      <c r="L42" s="15">
        <f t="shared" si="11"/>
        <v>6986.5200000000041</v>
      </c>
      <c r="M42" s="14">
        <v>0</v>
      </c>
      <c r="N42" s="17">
        <f>-R$2</f>
        <v>-62</v>
      </c>
      <c r="O42" s="15">
        <f t="shared" si="12"/>
        <v>-1798</v>
      </c>
      <c r="P42" s="26">
        <f t="shared" si="0"/>
        <v>4790.2100000000037</v>
      </c>
      <c r="R42" s="17">
        <f>W41</f>
        <v>151.84429187980356</v>
      </c>
      <c r="S42" s="14">
        <f t="shared" si="13"/>
        <v>0.82248991434892105</v>
      </c>
      <c r="T42" s="14">
        <f t="shared" si="14"/>
        <v>152.66678179415248</v>
      </c>
      <c r="U42" s="14">
        <v>0</v>
      </c>
      <c r="V42" s="14">
        <v>0</v>
      </c>
      <c r="W42" s="15">
        <f>SUM(T42:U42)+V42</f>
        <v>152.66678179415248</v>
      </c>
      <c r="X42" s="19">
        <f t="shared" si="19"/>
        <v>8500</v>
      </c>
      <c r="Y42" s="28">
        <f t="shared" si="2"/>
        <v>-67.58</v>
      </c>
      <c r="Z42" s="15">
        <f t="shared" si="4"/>
        <v>-473.05999999999995</v>
      </c>
      <c r="AA42" s="29">
        <f t="shared" si="3"/>
        <v>8179.606781794153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x14ac:dyDescent="0.25">
      <c r="A43" s="12">
        <v>30</v>
      </c>
      <c r="B43" s="13">
        <v>44075</v>
      </c>
      <c r="C43" s="14">
        <f t="shared" si="16"/>
        <v>1396.3099999999997</v>
      </c>
      <c r="D43" s="14">
        <f>C$8</f>
        <v>94.36</v>
      </c>
      <c r="E43" s="14">
        <f t="shared" si="6"/>
        <v>88.539999999999992</v>
      </c>
      <c r="F43" s="14">
        <f>ROUND(C43*C$5/12,2)</f>
        <v>5.82</v>
      </c>
      <c r="G43" s="20">
        <f>200-C$8-R$2</f>
        <v>43.64</v>
      </c>
      <c r="H43" s="14">
        <f t="shared" si="7"/>
        <v>138</v>
      </c>
      <c r="I43" s="14">
        <f t="shared" si="17"/>
        <v>3735.8700000000003</v>
      </c>
      <c r="J43" s="14">
        <f t="shared" si="18"/>
        <v>404.13000000000005</v>
      </c>
      <c r="K43" s="14">
        <f t="shared" si="10"/>
        <v>1264.1299999999997</v>
      </c>
      <c r="L43" s="15">
        <f t="shared" si="11"/>
        <v>7118.7000000000044</v>
      </c>
      <c r="M43" s="14">
        <v>0</v>
      </c>
      <c r="N43" s="17">
        <f>-R$2</f>
        <v>-62</v>
      </c>
      <c r="O43" s="15">
        <f t="shared" si="12"/>
        <v>-1860</v>
      </c>
      <c r="P43" s="26">
        <f t="shared" si="0"/>
        <v>4854.5700000000043</v>
      </c>
      <c r="R43" s="17">
        <f>W42</f>
        <v>152.66678179415248</v>
      </c>
      <c r="S43" s="14">
        <f t="shared" si="13"/>
        <v>0.82694506805165702</v>
      </c>
      <c r="T43" s="14">
        <f t="shared" si="14"/>
        <v>153.49372686220414</v>
      </c>
      <c r="U43" s="14">
        <v>0</v>
      </c>
      <c r="V43" s="14">
        <v>0</v>
      </c>
      <c r="W43" s="15">
        <f>SUM(T43:U43)+V43</f>
        <v>153.49372686220414</v>
      </c>
      <c r="X43" s="19">
        <f t="shared" si="19"/>
        <v>8500</v>
      </c>
      <c r="Y43" s="28">
        <f t="shared" si="2"/>
        <v>-67.58</v>
      </c>
      <c r="Z43" s="15">
        <f t="shared" si="4"/>
        <v>-540.64</v>
      </c>
      <c r="AA43" s="29">
        <f t="shared" si="3"/>
        <v>8112.8537268622031</v>
      </c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25">
      <c r="A44" s="12">
        <v>31</v>
      </c>
      <c r="B44" s="13">
        <v>44105</v>
      </c>
      <c r="C44" s="14">
        <f t="shared" si="16"/>
        <v>1264.1299999999997</v>
      </c>
      <c r="D44" s="14">
        <f>C$8</f>
        <v>94.36</v>
      </c>
      <c r="E44" s="14">
        <f t="shared" si="6"/>
        <v>89.09</v>
      </c>
      <c r="F44" s="14">
        <f>ROUND(C44*C$5/12,2)</f>
        <v>5.27</v>
      </c>
      <c r="G44" s="20">
        <f>200-C$8-R$2</f>
        <v>43.64</v>
      </c>
      <c r="H44" s="14">
        <f t="shared" si="7"/>
        <v>138</v>
      </c>
      <c r="I44" s="14">
        <f t="shared" si="17"/>
        <v>3868.6000000000004</v>
      </c>
      <c r="J44" s="14">
        <f t="shared" si="18"/>
        <v>409.40000000000003</v>
      </c>
      <c r="K44" s="14">
        <f t="shared" si="10"/>
        <v>1131.3999999999996</v>
      </c>
      <c r="L44" s="15">
        <f t="shared" si="11"/>
        <v>7251.4300000000048</v>
      </c>
      <c r="M44" s="14">
        <v>0</v>
      </c>
      <c r="N44" s="17">
        <f>-R$2</f>
        <v>-62</v>
      </c>
      <c r="O44" s="15">
        <f t="shared" si="12"/>
        <v>-1922</v>
      </c>
      <c r="P44" s="26">
        <f t="shared" si="0"/>
        <v>4920.0300000000052</v>
      </c>
      <c r="R44" s="17">
        <f>W43</f>
        <v>153.49372686220414</v>
      </c>
      <c r="S44" s="14">
        <f t="shared" si="13"/>
        <v>0.83142435383692259</v>
      </c>
      <c r="T44" s="14">
        <f t="shared" si="14"/>
        <v>154.32515121604106</v>
      </c>
      <c r="U44" s="14">
        <v>0</v>
      </c>
      <c r="V44" s="14">
        <v>0</v>
      </c>
      <c r="W44" s="15">
        <f>SUM(T44:U44)+V44</f>
        <v>154.32515121604106</v>
      </c>
      <c r="X44" s="19">
        <f t="shared" si="19"/>
        <v>8500</v>
      </c>
      <c r="Y44" s="28">
        <f t="shared" si="2"/>
        <v>-67.58</v>
      </c>
      <c r="Z44" s="15">
        <f t="shared" si="4"/>
        <v>-608.22</v>
      </c>
      <c r="AA44" s="29">
        <f t="shared" si="3"/>
        <v>8046.1051512160402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25">
      <c r="A45" s="12">
        <v>32</v>
      </c>
      <c r="B45" s="13">
        <v>44136</v>
      </c>
      <c r="C45" s="14">
        <f t="shared" si="16"/>
        <v>1131.3999999999996</v>
      </c>
      <c r="D45" s="14">
        <f>C$8</f>
        <v>94.36</v>
      </c>
      <c r="E45" s="14">
        <f t="shared" si="6"/>
        <v>89.65</v>
      </c>
      <c r="F45" s="14">
        <f>ROUND(C45*C$5/12,2)</f>
        <v>4.71</v>
      </c>
      <c r="G45" s="20">
        <f>200-C$8-R$2</f>
        <v>43.64</v>
      </c>
      <c r="H45" s="14">
        <f t="shared" si="7"/>
        <v>138</v>
      </c>
      <c r="I45" s="14">
        <f t="shared" si="17"/>
        <v>4001.8900000000003</v>
      </c>
      <c r="J45" s="14">
        <f t="shared" si="18"/>
        <v>414.11</v>
      </c>
      <c r="K45" s="14">
        <f t="shared" si="10"/>
        <v>998.10999999999956</v>
      </c>
      <c r="L45" s="15">
        <f t="shared" si="11"/>
        <v>7384.7200000000048</v>
      </c>
      <c r="M45" s="14">
        <v>0</v>
      </c>
      <c r="N45" s="17">
        <f>-R$2</f>
        <v>-62</v>
      </c>
      <c r="O45" s="15">
        <f t="shared" si="12"/>
        <v>-1984</v>
      </c>
      <c r="P45" s="26">
        <f t="shared" si="0"/>
        <v>4986.6100000000051</v>
      </c>
      <c r="R45" s="17">
        <f>W44</f>
        <v>154.32515121604106</v>
      </c>
      <c r="S45" s="14">
        <f t="shared" si="13"/>
        <v>0.83592790242022375</v>
      </c>
      <c r="T45" s="14">
        <f t="shared" si="14"/>
        <v>155.16107911846129</v>
      </c>
      <c r="U45" s="14">
        <v>0</v>
      </c>
      <c r="V45" s="14">
        <v>0</v>
      </c>
      <c r="W45" s="15">
        <f>SUM(T45:U45)+V45</f>
        <v>155.16107911846129</v>
      </c>
      <c r="X45" s="19">
        <f t="shared" si="19"/>
        <v>8500</v>
      </c>
      <c r="Y45" s="28">
        <f t="shared" si="2"/>
        <v>-67.58</v>
      </c>
      <c r="Z45" s="15">
        <f t="shared" si="4"/>
        <v>-675.80000000000007</v>
      </c>
      <c r="AA45" s="29">
        <f t="shared" si="3"/>
        <v>7979.361079118461</v>
      </c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s="12">
        <v>33</v>
      </c>
      <c r="B46" s="13">
        <v>44166</v>
      </c>
      <c r="C46" s="14">
        <f t="shared" si="16"/>
        <v>998.10999999999956</v>
      </c>
      <c r="D46" s="14">
        <f>C$8</f>
        <v>94.36</v>
      </c>
      <c r="E46" s="14">
        <f t="shared" si="6"/>
        <v>90.2</v>
      </c>
      <c r="F46" s="14">
        <f>ROUND(C46*C$5/12,2)</f>
        <v>4.16</v>
      </c>
      <c r="G46" s="20">
        <f>200-C$8-R$2</f>
        <v>43.64</v>
      </c>
      <c r="H46" s="14">
        <f t="shared" si="7"/>
        <v>138</v>
      </c>
      <c r="I46" s="14">
        <f t="shared" si="17"/>
        <v>4135.7300000000005</v>
      </c>
      <c r="J46" s="14">
        <f t="shared" si="18"/>
        <v>418.27000000000004</v>
      </c>
      <c r="K46" s="14">
        <f t="shared" si="10"/>
        <v>864.26999999999953</v>
      </c>
      <c r="L46" s="15">
        <f t="shared" si="11"/>
        <v>7518.5600000000049</v>
      </c>
      <c r="M46" s="14">
        <v>0</v>
      </c>
      <c r="N46" s="17">
        <f>-R$2</f>
        <v>-62</v>
      </c>
      <c r="O46" s="15">
        <f t="shared" si="12"/>
        <v>-2046</v>
      </c>
      <c r="P46" s="26">
        <f t="shared" si="0"/>
        <v>5054.2900000000045</v>
      </c>
      <c r="R46" s="17">
        <f t="shared" ref="R46:R58" si="20">W45</f>
        <v>155.16107911846129</v>
      </c>
      <c r="S46" s="14">
        <f t="shared" si="13"/>
        <v>0.84045584522499439</v>
      </c>
      <c r="T46" s="14">
        <f>R46*(100%+S$4)</f>
        <v>156.00153496368628</v>
      </c>
      <c r="U46" s="14">
        <v>0</v>
      </c>
      <c r="V46" s="14">
        <v>0</v>
      </c>
      <c r="W46" s="15">
        <f t="shared" ref="W46:W58" si="21">SUM(T46:U46)+V46</f>
        <v>156.00153496368628</v>
      </c>
      <c r="X46" s="19">
        <f t="shared" ref="X46:X58" si="22">IF(X45&gt;0,X45,IF(V46&lt;0,-V46,0))</f>
        <v>8500</v>
      </c>
      <c r="Y46" s="28">
        <f>IF(X46&gt;0,-R$3,0)</f>
        <v>-67.58</v>
      </c>
      <c r="Z46" s="15">
        <f t="shared" ref="Z46:Z58" si="23">Y46+Z45</f>
        <v>-743.38000000000011</v>
      </c>
      <c r="AA46" s="29">
        <f t="shared" ref="AA46:AA58" si="24">W46+X46+Z46</f>
        <v>7912.6215349636868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s="12">
        <v>34</v>
      </c>
      <c r="B47" s="13">
        <v>44197</v>
      </c>
      <c r="C47" s="14">
        <f t="shared" si="16"/>
        <v>864.26999999999953</v>
      </c>
      <c r="D47" s="14">
        <f>C$8</f>
        <v>94.36</v>
      </c>
      <c r="E47" s="14">
        <f t="shared" si="6"/>
        <v>90.76</v>
      </c>
      <c r="F47" s="14">
        <f>ROUND(C47*C$5/12,2)</f>
        <v>3.6</v>
      </c>
      <c r="G47" s="20">
        <f>200-C$8-R$2</f>
        <v>43.64</v>
      </c>
      <c r="H47" s="14">
        <f t="shared" si="7"/>
        <v>138</v>
      </c>
      <c r="I47" s="14">
        <f t="shared" si="17"/>
        <v>4270.13</v>
      </c>
      <c r="J47" s="14">
        <f t="shared" si="18"/>
        <v>421.87000000000006</v>
      </c>
      <c r="K47" s="14">
        <f t="shared" si="10"/>
        <v>729.86999999999955</v>
      </c>
      <c r="L47" s="15">
        <f t="shared" si="11"/>
        <v>7652.9600000000055</v>
      </c>
      <c r="M47" s="14">
        <v>0</v>
      </c>
      <c r="N47" s="17">
        <f>-R$2</f>
        <v>-62</v>
      </c>
      <c r="O47" s="15">
        <f t="shared" si="12"/>
        <v>-2108</v>
      </c>
      <c r="P47" s="26">
        <f t="shared" si="0"/>
        <v>5123.0900000000056</v>
      </c>
      <c r="R47" s="17">
        <f t="shared" si="20"/>
        <v>156.00153496368628</v>
      </c>
      <c r="S47" s="14">
        <f t="shared" si="13"/>
        <v>0.84500831438663226</v>
      </c>
      <c r="T47" s="14">
        <f>R47*(100%+S$4)</f>
        <v>156.84654327807291</v>
      </c>
      <c r="U47" s="14">
        <v>0</v>
      </c>
      <c r="V47" s="14">
        <v>0</v>
      </c>
      <c r="W47" s="15">
        <f t="shared" si="21"/>
        <v>156.84654327807291</v>
      </c>
      <c r="X47" s="19">
        <f t="shared" si="22"/>
        <v>8500</v>
      </c>
      <c r="Y47" s="28">
        <f>IF(X47&gt;0,-R$3,0)</f>
        <v>-67.58</v>
      </c>
      <c r="Z47" s="15">
        <f t="shared" si="23"/>
        <v>-810.96000000000015</v>
      </c>
      <c r="AA47" s="29">
        <f t="shared" si="24"/>
        <v>7845.8865432780722</v>
      </c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s="12">
        <v>35</v>
      </c>
      <c r="B48" s="13">
        <v>44228</v>
      </c>
      <c r="C48" s="14">
        <f t="shared" si="16"/>
        <v>729.86999999999955</v>
      </c>
      <c r="D48" s="14">
        <f>C$8</f>
        <v>94.36</v>
      </c>
      <c r="E48" s="14">
        <f t="shared" si="6"/>
        <v>91.32</v>
      </c>
      <c r="F48" s="14">
        <f>ROUND(C48*C$5/12,2)</f>
        <v>3.04</v>
      </c>
      <c r="G48" s="20">
        <f>200-C$8-R$2</f>
        <v>43.64</v>
      </c>
      <c r="H48" s="14">
        <f t="shared" si="7"/>
        <v>138</v>
      </c>
      <c r="I48" s="14">
        <f t="shared" si="17"/>
        <v>4405.09</v>
      </c>
      <c r="J48" s="14">
        <f t="shared" si="18"/>
        <v>424.91000000000008</v>
      </c>
      <c r="K48" s="14">
        <f t="shared" si="10"/>
        <v>594.90999999999951</v>
      </c>
      <c r="L48" s="15">
        <f t="shared" si="11"/>
        <v>7787.9200000000055</v>
      </c>
      <c r="M48" s="14">
        <v>0</v>
      </c>
      <c r="N48" s="17">
        <f>-R$2</f>
        <v>-62</v>
      </c>
      <c r="O48" s="15">
        <f t="shared" si="12"/>
        <v>-2170</v>
      </c>
      <c r="P48" s="26">
        <f t="shared" si="0"/>
        <v>5193.0100000000057</v>
      </c>
      <c r="R48" s="17">
        <f t="shared" si="20"/>
        <v>156.84654327807291</v>
      </c>
      <c r="S48" s="14">
        <f t="shared" si="13"/>
        <v>0.84958544275622216</v>
      </c>
      <c r="T48" s="14">
        <f>R48*(100%+S$4)</f>
        <v>157.69612872082914</v>
      </c>
      <c r="U48" s="14">
        <v>0</v>
      </c>
      <c r="V48" s="14">
        <v>0</v>
      </c>
      <c r="W48" s="15">
        <f t="shared" si="21"/>
        <v>157.69612872082914</v>
      </c>
      <c r="X48" s="19">
        <f t="shared" si="22"/>
        <v>8500</v>
      </c>
      <c r="Y48" s="28">
        <f>IF(X48&gt;0,-R$3,0)</f>
        <v>-67.58</v>
      </c>
      <c r="Z48" s="15">
        <f t="shared" si="23"/>
        <v>-878.54000000000019</v>
      </c>
      <c r="AA48" s="29">
        <f t="shared" si="24"/>
        <v>7779.1561287208287</v>
      </c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s="12">
        <v>36</v>
      </c>
      <c r="B49" s="13">
        <v>44256</v>
      </c>
      <c r="C49" s="14">
        <f t="shared" si="16"/>
        <v>594.90999999999951</v>
      </c>
      <c r="D49" s="14">
        <f>C$8</f>
        <v>94.36</v>
      </c>
      <c r="E49" s="14">
        <f t="shared" si="6"/>
        <v>91.88</v>
      </c>
      <c r="F49" s="14">
        <f>ROUND(C49*C$5/12,2)</f>
        <v>2.48</v>
      </c>
      <c r="G49" s="20">
        <f>200-C$8-R$2</f>
        <v>43.64</v>
      </c>
      <c r="H49" s="14">
        <f t="shared" si="7"/>
        <v>138</v>
      </c>
      <c r="I49" s="14">
        <f t="shared" si="17"/>
        <v>4540.6100000000006</v>
      </c>
      <c r="J49" s="14">
        <f t="shared" si="18"/>
        <v>427.3900000000001</v>
      </c>
      <c r="K49" s="14">
        <f t="shared" si="10"/>
        <v>459.38999999999953</v>
      </c>
      <c r="L49" s="15">
        <f t="shared" si="11"/>
        <v>7923.440000000006</v>
      </c>
      <c r="M49" s="14">
        <v>0</v>
      </c>
      <c r="N49" s="17">
        <f>-R$2</f>
        <v>-62</v>
      </c>
      <c r="O49" s="15">
        <f t="shared" si="12"/>
        <v>-2232</v>
      </c>
      <c r="P49" s="26">
        <f t="shared" si="0"/>
        <v>5264.0500000000056</v>
      </c>
      <c r="R49" s="17">
        <f t="shared" si="20"/>
        <v>157.69612872082914</v>
      </c>
      <c r="S49" s="14">
        <f t="shared" si="13"/>
        <v>0.85418736390448657</v>
      </c>
      <c r="T49" s="14">
        <f>R49*(100%+S$4)</f>
        <v>158.55031608473362</v>
      </c>
      <c r="U49" s="14">
        <v>0</v>
      </c>
      <c r="V49" s="14">
        <v>0</v>
      </c>
      <c r="W49" s="15">
        <f t="shared" si="21"/>
        <v>158.55031608473362</v>
      </c>
      <c r="X49" s="19">
        <f t="shared" si="22"/>
        <v>8500</v>
      </c>
      <c r="Y49" s="28">
        <f>IF(X49&gt;0,-R$3,0)</f>
        <v>-67.58</v>
      </c>
      <c r="Z49" s="15">
        <f t="shared" si="23"/>
        <v>-946.12000000000023</v>
      </c>
      <c r="AA49" s="29">
        <f t="shared" si="24"/>
        <v>7712.430316084733</v>
      </c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s="12">
        <v>37</v>
      </c>
      <c r="B50" s="13">
        <v>44287</v>
      </c>
      <c r="C50" s="14">
        <f t="shared" si="16"/>
        <v>459.38999999999953</v>
      </c>
      <c r="D50" s="14">
        <f>C$8</f>
        <v>94.36</v>
      </c>
      <c r="E50" s="14">
        <f t="shared" si="6"/>
        <v>92.45</v>
      </c>
      <c r="F50" s="14">
        <f>ROUND(C50*C$5/12,2)</f>
        <v>1.91</v>
      </c>
      <c r="G50" s="20">
        <f>200-C$8-R$2</f>
        <v>43.64</v>
      </c>
      <c r="H50" s="14">
        <f t="shared" si="7"/>
        <v>138</v>
      </c>
      <c r="I50" s="14">
        <f t="shared" si="17"/>
        <v>4676.7000000000007</v>
      </c>
      <c r="J50" s="14">
        <f t="shared" si="18"/>
        <v>429.30000000000013</v>
      </c>
      <c r="K50" s="14">
        <f t="shared" si="10"/>
        <v>323.29999999999956</v>
      </c>
      <c r="L50" s="15">
        <f t="shared" si="11"/>
        <v>8059.5300000000061</v>
      </c>
      <c r="M50" s="14">
        <v>0</v>
      </c>
      <c r="N50" s="17">
        <f>-R$2</f>
        <v>-62</v>
      </c>
      <c r="O50" s="15">
        <f t="shared" si="12"/>
        <v>-2294</v>
      </c>
      <c r="P50" s="26">
        <f t="shared" si="0"/>
        <v>5336.2300000000059</v>
      </c>
      <c r="R50" s="17">
        <f t="shared" si="20"/>
        <v>158.55031608473362</v>
      </c>
      <c r="S50" s="14">
        <f t="shared" si="13"/>
        <v>0.85881421212562259</v>
      </c>
      <c r="T50" s="14">
        <f>R50*(100%+S$4)</f>
        <v>159.40913029685925</v>
      </c>
      <c r="U50" s="14">
        <v>0</v>
      </c>
      <c r="V50" s="14">
        <v>0</v>
      </c>
      <c r="W50" s="15">
        <f t="shared" si="21"/>
        <v>159.40913029685925</v>
      </c>
      <c r="X50" s="19">
        <f t="shared" si="22"/>
        <v>8500</v>
      </c>
      <c r="Y50" s="28">
        <f>IF(X50&gt;0,-R$3,0)</f>
        <v>-67.58</v>
      </c>
      <c r="Z50" s="15">
        <f t="shared" si="23"/>
        <v>-1013.7000000000003</v>
      </c>
      <c r="AA50" s="29">
        <f t="shared" si="24"/>
        <v>7645.7091302968583</v>
      </c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s="12">
        <v>38</v>
      </c>
      <c r="B51" s="13">
        <v>44317</v>
      </c>
      <c r="C51" s="14">
        <f t="shared" si="16"/>
        <v>323.29999999999956</v>
      </c>
      <c r="D51" s="14">
        <f>C$8</f>
        <v>94.36</v>
      </c>
      <c r="E51" s="14">
        <f t="shared" si="6"/>
        <v>93.01</v>
      </c>
      <c r="F51" s="14">
        <f>ROUND(C51*C$5/12,2)</f>
        <v>1.35</v>
      </c>
      <c r="G51" s="20">
        <f>200-C$8-R$2</f>
        <v>43.64</v>
      </c>
      <c r="H51" s="14">
        <f t="shared" si="7"/>
        <v>138</v>
      </c>
      <c r="I51" s="14">
        <f t="shared" si="17"/>
        <v>4813.3500000000004</v>
      </c>
      <c r="J51" s="14">
        <f t="shared" si="18"/>
        <v>430.65000000000015</v>
      </c>
      <c r="K51" s="14">
        <f t="shared" si="10"/>
        <v>186.64999999999958</v>
      </c>
      <c r="L51" s="15">
        <f t="shared" si="11"/>
        <v>8196.1800000000057</v>
      </c>
      <c r="M51" s="14">
        <v>0</v>
      </c>
      <c r="N51" s="17">
        <f>-R$2</f>
        <v>-62</v>
      </c>
      <c r="O51" s="15">
        <f t="shared" si="12"/>
        <v>-2356</v>
      </c>
      <c r="P51" s="26">
        <f t="shared" si="0"/>
        <v>5409.5300000000052</v>
      </c>
      <c r="R51" s="17">
        <f t="shared" si="20"/>
        <v>159.40913029685925</v>
      </c>
      <c r="S51" s="14">
        <f t="shared" si="13"/>
        <v>0.86346612244130938</v>
      </c>
      <c r="T51" s="14">
        <f>R51*(100%+S$4)</f>
        <v>160.27259641930056</v>
      </c>
      <c r="U51" s="14">
        <v>0</v>
      </c>
      <c r="V51" s="14">
        <v>0</v>
      </c>
      <c r="W51" s="15">
        <f t="shared" si="21"/>
        <v>160.27259641930056</v>
      </c>
      <c r="X51" s="19">
        <f t="shared" si="22"/>
        <v>8500</v>
      </c>
      <c r="Y51" s="28">
        <f>IF(X51&gt;0,-R$3,0)</f>
        <v>-67.58</v>
      </c>
      <c r="Z51" s="15">
        <f t="shared" si="23"/>
        <v>-1081.2800000000002</v>
      </c>
      <c r="AA51" s="29">
        <f t="shared" si="24"/>
        <v>7578.9925964193008</v>
      </c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s="12">
        <v>39</v>
      </c>
      <c r="B52" s="13">
        <v>44348</v>
      </c>
      <c r="C52" s="14">
        <f t="shared" si="16"/>
        <v>186.64999999999958</v>
      </c>
      <c r="D52" s="14">
        <f>C$8</f>
        <v>94.36</v>
      </c>
      <c r="E52" s="14">
        <f t="shared" si="6"/>
        <v>93.58</v>
      </c>
      <c r="F52" s="14">
        <f>ROUND(C52*C$5/12,2)</f>
        <v>0.78</v>
      </c>
      <c r="G52" s="20">
        <f>200-C$8-R$2</f>
        <v>43.64</v>
      </c>
      <c r="H52" s="14">
        <f t="shared" si="7"/>
        <v>138</v>
      </c>
      <c r="I52" s="14">
        <f t="shared" si="17"/>
        <v>4950.5700000000006</v>
      </c>
      <c r="J52" s="14">
        <f t="shared" si="18"/>
        <v>431.43000000000012</v>
      </c>
      <c r="K52" s="14">
        <f t="shared" si="10"/>
        <v>49.42999999999958</v>
      </c>
      <c r="L52" s="15">
        <f t="shared" si="11"/>
        <v>8333.4000000000051</v>
      </c>
      <c r="M52" s="14">
        <v>0</v>
      </c>
      <c r="N52" s="17">
        <f>-R$2</f>
        <v>-62</v>
      </c>
      <c r="O52" s="15">
        <f t="shared" si="12"/>
        <v>-2418</v>
      </c>
      <c r="P52" s="26">
        <f t="shared" si="0"/>
        <v>5483.9700000000048</v>
      </c>
      <c r="R52" s="17">
        <f t="shared" si="20"/>
        <v>160.27259641930056</v>
      </c>
      <c r="S52" s="14">
        <f t="shared" si="13"/>
        <v>0.86814323060454512</v>
      </c>
      <c r="T52" s="14">
        <f>R52*(100%+S$4)</f>
        <v>161.1407396499051</v>
      </c>
      <c r="U52" s="14">
        <v>0</v>
      </c>
      <c r="V52" s="14">
        <v>0</v>
      </c>
      <c r="W52" s="15">
        <f t="shared" si="21"/>
        <v>161.1407396499051</v>
      </c>
      <c r="X52" s="19">
        <f t="shared" si="22"/>
        <v>8500</v>
      </c>
      <c r="Y52" s="28">
        <f>IF(X52&gt;0,-R$3,0)</f>
        <v>-67.58</v>
      </c>
      <c r="Z52" s="15">
        <f t="shared" si="23"/>
        <v>-1148.8600000000001</v>
      </c>
      <c r="AA52" s="29">
        <f t="shared" si="24"/>
        <v>7512.2807396499047</v>
      </c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s="12">
        <v>40</v>
      </c>
      <c r="B53" s="13">
        <v>44378</v>
      </c>
      <c r="C53" s="14">
        <f t="shared" si="16"/>
        <v>49.42999999999958</v>
      </c>
      <c r="D53" s="14">
        <f>C$8</f>
        <v>94.36</v>
      </c>
      <c r="E53" s="14">
        <f t="shared" si="6"/>
        <v>94.15</v>
      </c>
      <c r="F53" s="14">
        <f>ROUND(C53*C$5/12,2)</f>
        <v>0.21</v>
      </c>
      <c r="G53" s="20">
        <f>200-C$8-R$2</f>
        <v>43.64</v>
      </c>
      <c r="H53" s="14">
        <f t="shared" si="7"/>
        <v>138</v>
      </c>
      <c r="I53" s="14">
        <f t="shared" si="17"/>
        <v>5088.3600000000006</v>
      </c>
      <c r="J53" s="14">
        <f t="shared" si="18"/>
        <v>431.6400000000001</v>
      </c>
      <c r="K53" s="14">
        <f t="shared" si="10"/>
        <v>-88.360000000000426</v>
      </c>
      <c r="L53" s="15">
        <f t="shared" si="11"/>
        <v>8471.1900000000041</v>
      </c>
      <c r="M53" s="14">
        <v>0</v>
      </c>
      <c r="N53" s="17">
        <f>-R$2</f>
        <v>-62</v>
      </c>
      <c r="O53" s="15">
        <f t="shared" si="12"/>
        <v>-2480</v>
      </c>
      <c r="P53" s="26">
        <f t="shared" si="0"/>
        <v>5559.5500000000038</v>
      </c>
      <c r="R53" s="17">
        <f t="shared" si="20"/>
        <v>161.1407396499051</v>
      </c>
      <c r="S53" s="14">
        <f t="shared" si="13"/>
        <v>0.87284567310365446</v>
      </c>
      <c r="T53" s="14">
        <f>R53*(100%+S$4)</f>
        <v>162.01358532300875</v>
      </c>
      <c r="U53" s="14">
        <v>0</v>
      </c>
      <c r="V53" s="14">
        <v>0</v>
      </c>
      <c r="W53" s="15">
        <f t="shared" si="21"/>
        <v>162.01358532300875</v>
      </c>
      <c r="X53" s="19">
        <f t="shared" si="22"/>
        <v>8500</v>
      </c>
      <c r="Y53" s="28">
        <f>IF(X53&gt;0,-R$3,0)</f>
        <v>-67.58</v>
      </c>
      <c r="Z53" s="15">
        <f t="shared" si="23"/>
        <v>-1216.44</v>
      </c>
      <c r="AA53" s="29">
        <f t="shared" si="24"/>
        <v>7445.573585323009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s="12">
        <v>41</v>
      </c>
      <c r="B54" s="13">
        <v>44409</v>
      </c>
      <c r="C54" s="14">
        <f t="shared" si="16"/>
        <v>-88.360000000000426</v>
      </c>
      <c r="D54" s="14">
        <f>C$8</f>
        <v>94.36</v>
      </c>
      <c r="E54" s="14">
        <f t="shared" si="6"/>
        <v>94.73</v>
      </c>
      <c r="F54" s="14">
        <f>ROUND(C54*C$5/12,2)</f>
        <v>-0.37</v>
      </c>
      <c r="G54" s="20">
        <f>200-C$8-R$2</f>
        <v>43.64</v>
      </c>
      <c r="H54" s="14">
        <f t="shared" si="7"/>
        <v>0</v>
      </c>
      <c r="I54" s="14">
        <f t="shared" si="17"/>
        <v>5226.7300000000005</v>
      </c>
      <c r="J54" s="14">
        <f t="shared" si="18"/>
        <v>431.2700000000001</v>
      </c>
      <c r="K54" s="14">
        <f t="shared" si="10"/>
        <v>0</v>
      </c>
      <c r="L54" s="15">
        <f t="shared" si="11"/>
        <v>8609.5600000000031</v>
      </c>
      <c r="M54" s="14">
        <v>0</v>
      </c>
      <c r="N54" s="17">
        <f>-R$2</f>
        <v>-62</v>
      </c>
      <c r="O54" s="15">
        <f t="shared" si="12"/>
        <v>-2542</v>
      </c>
      <c r="P54" s="26">
        <f t="shared" si="0"/>
        <v>5636.2900000000027</v>
      </c>
      <c r="R54" s="17">
        <f t="shared" si="20"/>
        <v>162.01358532300875</v>
      </c>
      <c r="S54" s="14">
        <f t="shared" si="13"/>
        <v>0.87757358716629597</v>
      </c>
      <c r="T54" s="14">
        <f>R54*(100%+S$4)</f>
        <v>162.89115891017505</v>
      </c>
      <c r="U54" s="14">
        <v>0</v>
      </c>
      <c r="V54" s="14">
        <v>0</v>
      </c>
      <c r="W54" s="15">
        <f t="shared" si="21"/>
        <v>162.89115891017505</v>
      </c>
      <c r="X54" s="19">
        <f t="shared" si="22"/>
        <v>8500</v>
      </c>
      <c r="Y54" s="28">
        <f>IF(X54&gt;0,-R$3,0)</f>
        <v>-67.58</v>
      </c>
      <c r="Z54" s="15">
        <f t="shared" si="23"/>
        <v>-1284.02</v>
      </c>
      <c r="AA54" s="29">
        <f t="shared" si="24"/>
        <v>7378.8711589101749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s="12">
        <v>42</v>
      </c>
      <c r="B55" s="13">
        <v>44440</v>
      </c>
      <c r="C55" s="14">
        <f t="shared" si="16"/>
        <v>0</v>
      </c>
      <c r="D55" s="14">
        <f>C$8</f>
        <v>94.36</v>
      </c>
      <c r="E55" s="14">
        <f t="shared" si="6"/>
        <v>94.36</v>
      </c>
      <c r="F55" s="14">
        <f>ROUND(C55*C$5/12,2)</f>
        <v>0</v>
      </c>
      <c r="G55" s="20">
        <f>200-C$8-R$2</f>
        <v>43.64</v>
      </c>
      <c r="H55" s="14">
        <f t="shared" si="7"/>
        <v>0</v>
      </c>
      <c r="I55" s="14">
        <f t="shared" si="17"/>
        <v>5364.7300000000005</v>
      </c>
      <c r="J55" s="14">
        <f t="shared" si="18"/>
        <v>431.2700000000001</v>
      </c>
      <c r="K55" s="14">
        <f t="shared" si="10"/>
        <v>0</v>
      </c>
      <c r="L55" s="15">
        <f t="shared" si="11"/>
        <v>8500</v>
      </c>
      <c r="M55" s="14">
        <v>0</v>
      </c>
      <c r="N55" s="17">
        <f>-R$2</f>
        <v>-62</v>
      </c>
      <c r="O55" s="15">
        <f t="shared" si="12"/>
        <v>-2604</v>
      </c>
      <c r="P55" s="26">
        <f t="shared" si="0"/>
        <v>5464.73</v>
      </c>
      <c r="R55" s="17">
        <f t="shared" si="20"/>
        <v>162.89115891017505</v>
      </c>
      <c r="S55" s="14">
        <f t="shared" si="13"/>
        <v>0.88232711076344117</v>
      </c>
      <c r="T55" s="14">
        <f>R55*(100%+S$4)</f>
        <v>163.77348602093849</v>
      </c>
      <c r="U55" s="14">
        <v>0</v>
      </c>
      <c r="V55" s="14">
        <v>0</v>
      </c>
      <c r="W55" s="15">
        <f t="shared" si="21"/>
        <v>163.77348602093849</v>
      </c>
      <c r="X55" s="19">
        <f t="shared" si="22"/>
        <v>8500</v>
      </c>
      <c r="Y55" s="28">
        <f>IF(X55&gt;0,-R$3,0)</f>
        <v>-67.58</v>
      </c>
      <c r="Z55" s="15">
        <f t="shared" si="23"/>
        <v>-1351.6</v>
      </c>
      <c r="AA55" s="29">
        <f t="shared" si="24"/>
        <v>7312.1734860209381</v>
      </c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s="12">
        <v>43</v>
      </c>
      <c r="B56" s="13">
        <v>44470</v>
      </c>
      <c r="C56" s="14">
        <f t="shared" si="16"/>
        <v>0</v>
      </c>
      <c r="D56" s="14">
        <f>C$8</f>
        <v>94.36</v>
      </c>
      <c r="E56" s="14">
        <f t="shared" si="6"/>
        <v>94.36</v>
      </c>
      <c r="F56" s="14">
        <f>ROUND(C56*C$5/12,2)</f>
        <v>0</v>
      </c>
      <c r="G56" s="20">
        <f>200-C$8-R$2</f>
        <v>43.64</v>
      </c>
      <c r="H56" s="14">
        <f t="shared" si="7"/>
        <v>0</v>
      </c>
      <c r="I56" s="14">
        <f t="shared" si="17"/>
        <v>5502.7300000000005</v>
      </c>
      <c r="J56" s="14">
        <f t="shared" si="18"/>
        <v>431.2700000000001</v>
      </c>
      <c r="K56" s="14">
        <f t="shared" si="10"/>
        <v>0</v>
      </c>
      <c r="L56" s="15">
        <f t="shared" si="11"/>
        <v>8500</v>
      </c>
      <c r="M56" s="14">
        <v>0</v>
      </c>
      <c r="N56" s="17">
        <f>-R$2</f>
        <v>-62</v>
      </c>
      <c r="O56" s="15">
        <f t="shared" si="12"/>
        <v>-2666</v>
      </c>
      <c r="P56" s="26">
        <f t="shared" si="0"/>
        <v>5402.73</v>
      </c>
      <c r="R56" s="17">
        <f t="shared" si="20"/>
        <v>163.77348602093849</v>
      </c>
      <c r="S56" s="14">
        <f t="shared" si="13"/>
        <v>0.88710638261341046</v>
      </c>
      <c r="T56" s="14">
        <f>R56*(100%+S$4)</f>
        <v>164.6605924035519</v>
      </c>
      <c r="U56" s="14">
        <v>0</v>
      </c>
      <c r="V56" s="14">
        <v>0</v>
      </c>
      <c r="W56" s="15">
        <f t="shared" si="21"/>
        <v>164.6605924035519</v>
      </c>
      <c r="X56" s="19">
        <f t="shared" si="22"/>
        <v>8500</v>
      </c>
      <c r="Y56" s="28">
        <f>IF(X56&gt;0,-R$3,0)</f>
        <v>-67.58</v>
      </c>
      <c r="Z56" s="15">
        <f t="shared" si="23"/>
        <v>-1419.1799999999998</v>
      </c>
      <c r="AA56" s="29">
        <f t="shared" si="24"/>
        <v>7245.4805924035518</v>
      </c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s="12">
        <v>44</v>
      </c>
      <c r="B57" s="13">
        <v>44501</v>
      </c>
      <c r="C57" s="14">
        <f t="shared" si="16"/>
        <v>0</v>
      </c>
      <c r="D57" s="14">
        <f>C$8</f>
        <v>94.36</v>
      </c>
      <c r="E57" s="14">
        <f t="shared" si="6"/>
        <v>94.36</v>
      </c>
      <c r="F57" s="14">
        <f>ROUND(C57*C$5/12,2)</f>
        <v>0</v>
      </c>
      <c r="G57" s="20">
        <v>0</v>
      </c>
      <c r="H57" s="14">
        <f t="shared" si="7"/>
        <v>0</v>
      </c>
      <c r="I57" s="14">
        <f t="shared" si="17"/>
        <v>5597.09</v>
      </c>
      <c r="J57" s="14">
        <f t="shared" si="18"/>
        <v>431.2700000000001</v>
      </c>
      <c r="K57" s="14">
        <f t="shared" si="10"/>
        <v>0</v>
      </c>
      <c r="L57" s="15">
        <f t="shared" si="11"/>
        <v>8500</v>
      </c>
      <c r="M57" s="14">
        <v>0</v>
      </c>
      <c r="N57" s="17">
        <f>-R$2</f>
        <v>-62</v>
      </c>
      <c r="O57" s="15">
        <f t="shared" si="12"/>
        <v>-2728</v>
      </c>
      <c r="P57" s="26">
        <f t="shared" si="0"/>
        <v>5340.73</v>
      </c>
      <c r="R57" s="17">
        <f t="shared" si="20"/>
        <v>164.6605924035519</v>
      </c>
      <c r="S57" s="14">
        <f t="shared" si="13"/>
        <v>0.89191154218590896</v>
      </c>
      <c r="T57" s="14">
        <f>R57*(100%+S$4)</f>
        <v>165.55250394573781</v>
      </c>
      <c r="U57" s="14">
        <v>0</v>
      </c>
      <c r="V57" s="14">
        <v>0</v>
      </c>
      <c r="W57" s="15">
        <f t="shared" si="21"/>
        <v>165.55250394573781</v>
      </c>
      <c r="X57" s="19">
        <f t="shared" si="22"/>
        <v>8500</v>
      </c>
      <c r="Y57" s="28">
        <f>IF(X57&gt;0,-R$3,0)</f>
        <v>-67.58</v>
      </c>
      <c r="Z57" s="15">
        <f t="shared" si="23"/>
        <v>-1486.7599999999998</v>
      </c>
      <c r="AA57" s="29">
        <f t="shared" si="24"/>
        <v>7178.7925039457368</v>
      </c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s="12">
        <v>45</v>
      </c>
      <c r="B58" s="13">
        <v>44531</v>
      </c>
      <c r="C58" s="14">
        <f t="shared" si="16"/>
        <v>0</v>
      </c>
      <c r="D58" s="14">
        <f>C$8</f>
        <v>94.36</v>
      </c>
      <c r="E58" s="14">
        <f t="shared" si="6"/>
        <v>94.36</v>
      </c>
      <c r="F58" s="14">
        <f>ROUND(C58*C$5/12,2)</f>
        <v>0</v>
      </c>
      <c r="G58" s="20">
        <v>0</v>
      </c>
      <c r="H58" s="14">
        <f t="shared" si="7"/>
        <v>0</v>
      </c>
      <c r="I58" s="14">
        <f t="shared" si="17"/>
        <v>5691.45</v>
      </c>
      <c r="J58" s="14">
        <f t="shared" si="18"/>
        <v>431.2700000000001</v>
      </c>
      <c r="K58" s="14">
        <f t="shared" si="10"/>
        <v>0</v>
      </c>
      <c r="L58" s="15">
        <f t="shared" si="11"/>
        <v>8500</v>
      </c>
      <c r="M58" s="14">
        <v>0</v>
      </c>
      <c r="N58" s="17">
        <f>-R$2</f>
        <v>-62</v>
      </c>
      <c r="O58" s="15">
        <f t="shared" si="12"/>
        <v>-2790</v>
      </c>
      <c r="P58" s="26">
        <f t="shared" si="0"/>
        <v>5278.73</v>
      </c>
      <c r="R58" s="17">
        <f t="shared" si="20"/>
        <v>165.55250394573781</v>
      </c>
      <c r="S58" s="14">
        <f t="shared" si="13"/>
        <v>0.89674272970606239</v>
      </c>
      <c r="T58" s="14">
        <f>R58*(100%+S$4)</f>
        <v>166.44924667544387</v>
      </c>
      <c r="U58" s="14">
        <v>0</v>
      </c>
      <c r="V58" s="14">
        <v>0</v>
      </c>
      <c r="W58" s="15">
        <f t="shared" si="21"/>
        <v>166.44924667544387</v>
      </c>
      <c r="X58" s="19">
        <f t="shared" si="22"/>
        <v>8500</v>
      </c>
      <c r="Y58" s="28">
        <f>IF(X58&gt;0,-R$3,0)</f>
        <v>-67.58</v>
      </c>
      <c r="Z58" s="15">
        <f t="shared" si="23"/>
        <v>-1554.3399999999997</v>
      </c>
      <c r="AA58" s="29">
        <f t="shared" si="24"/>
        <v>7112.1092466754435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s="12">
        <v>46</v>
      </c>
      <c r="B59" s="13">
        <v>44562</v>
      </c>
      <c r="C59" s="14">
        <f t="shared" si="16"/>
        <v>0</v>
      </c>
      <c r="D59" s="14">
        <f>C$8</f>
        <v>94.36</v>
      </c>
      <c r="E59" s="14">
        <f t="shared" si="6"/>
        <v>94.36</v>
      </c>
      <c r="F59" s="14">
        <f>ROUND(C59*C$5/12,2)</f>
        <v>0</v>
      </c>
      <c r="G59" s="20">
        <v>0</v>
      </c>
      <c r="H59" s="14">
        <f t="shared" si="7"/>
        <v>0</v>
      </c>
      <c r="I59" s="14">
        <f t="shared" si="17"/>
        <v>5785.8099999999995</v>
      </c>
      <c r="J59" s="14">
        <f t="shared" si="18"/>
        <v>431.2700000000001</v>
      </c>
      <c r="K59" s="14">
        <f t="shared" si="10"/>
        <v>0</v>
      </c>
      <c r="L59" s="15">
        <f>IF(K57&lt;=0,8500,L58+E59+G59)</f>
        <v>8500</v>
      </c>
      <c r="M59" s="14">
        <v>0</v>
      </c>
      <c r="N59" s="17">
        <f>-R$2</f>
        <v>-62</v>
      </c>
      <c r="O59" s="15">
        <f t="shared" si="12"/>
        <v>-2852</v>
      </c>
      <c r="P59" s="26">
        <f t="shared" si="0"/>
        <v>5216.7299999999996</v>
      </c>
      <c r="R59" s="17">
        <f t="shared" ref="R59:R61" si="25">W58</f>
        <v>166.44924667544387</v>
      </c>
      <c r="S59" s="14">
        <f t="shared" si="13"/>
        <v>0.90160008615865195</v>
      </c>
      <c r="T59" s="14">
        <f t="shared" ref="T59:T61" si="26">R59*(100%+S$4)</f>
        <v>167.35084676160253</v>
      </c>
      <c r="U59" s="14">
        <v>0</v>
      </c>
      <c r="V59" s="14">
        <v>0</v>
      </c>
      <c r="W59" s="15">
        <f t="shared" ref="W59:W61" si="27">SUM(T59:U59)+V59</f>
        <v>167.35084676160253</v>
      </c>
      <c r="X59" s="19">
        <f t="shared" ref="X59:X61" si="28">IF(X58&gt;0,X58,IF(V59&lt;0,-V59,0))</f>
        <v>8500</v>
      </c>
      <c r="Y59" s="28">
        <f t="shared" ref="Y59:Y61" si="29">IF(X59&gt;0,-R$3,0)</f>
        <v>-67.58</v>
      </c>
      <c r="Z59" s="15">
        <f t="shared" ref="Z59:Z61" si="30">Y59+Z58</f>
        <v>-1621.9199999999996</v>
      </c>
      <c r="AA59" s="29">
        <f t="shared" ref="AA59:AA61" si="31">W59+X59+Z59</f>
        <v>7045.4308467616029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x14ac:dyDescent="0.25">
      <c r="A60" s="12">
        <v>47</v>
      </c>
      <c r="B60" s="13">
        <v>44593</v>
      </c>
      <c r="C60" s="14">
        <f t="shared" si="16"/>
        <v>0</v>
      </c>
      <c r="D60" s="14">
        <f>C$8</f>
        <v>94.36</v>
      </c>
      <c r="E60" s="14">
        <f t="shared" si="6"/>
        <v>94.36</v>
      </c>
      <c r="F60" s="14">
        <f>ROUND(C60*C$5/12,2)</f>
        <v>0</v>
      </c>
      <c r="G60" s="20">
        <v>0</v>
      </c>
      <c r="H60" s="14">
        <f t="shared" si="7"/>
        <v>0</v>
      </c>
      <c r="I60" s="14">
        <f t="shared" si="17"/>
        <v>5880.1699999999992</v>
      </c>
      <c r="J60" s="14">
        <f t="shared" si="18"/>
        <v>431.2700000000001</v>
      </c>
      <c r="K60" s="14">
        <f t="shared" si="10"/>
        <v>0</v>
      </c>
      <c r="L60" s="15">
        <f t="shared" ref="L60:L61" si="32">IF(K58&lt;=0,8500,L59+E60+G60)</f>
        <v>8500</v>
      </c>
      <c r="M60" s="14">
        <v>0</v>
      </c>
      <c r="N60" s="17">
        <f>-R$2</f>
        <v>-62</v>
      </c>
      <c r="O60" s="15">
        <f t="shared" si="12"/>
        <v>-2914</v>
      </c>
      <c r="P60" s="26">
        <f t="shared" si="0"/>
        <v>5154.7299999999996</v>
      </c>
      <c r="R60" s="17">
        <f t="shared" si="25"/>
        <v>167.35084676160253</v>
      </c>
      <c r="S60" s="14">
        <f t="shared" si="13"/>
        <v>0.90648375329200803</v>
      </c>
      <c r="T60" s="14">
        <f t="shared" si="26"/>
        <v>168.25733051489453</v>
      </c>
      <c r="U60" s="14">
        <v>0</v>
      </c>
      <c r="V60" s="14">
        <v>0</v>
      </c>
      <c r="W60" s="15">
        <f t="shared" si="27"/>
        <v>168.25733051489453</v>
      </c>
      <c r="X60" s="19">
        <f t="shared" si="28"/>
        <v>8500</v>
      </c>
      <c r="Y60" s="28">
        <f t="shared" si="29"/>
        <v>-67.58</v>
      </c>
      <c r="Z60" s="15">
        <f t="shared" si="30"/>
        <v>-1689.4999999999995</v>
      </c>
      <c r="AA60" s="29">
        <f t="shared" si="31"/>
        <v>6978.7573305148944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x14ac:dyDescent="0.25">
      <c r="A61" s="12">
        <v>48</v>
      </c>
      <c r="B61" s="13">
        <v>44621</v>
      </c>
      <c r="C61" s="14">
        <f t="shared" si="16"/>
        <v>0</v>
      </c>
      <c r="D61" s="14">
        <f>C$8</f>
        <v>94.36</v>
      </c>
      <c r="E61" s="14">
        <f t="shared" si="6"/>
        <v>94.36</v>
      </c>
      <c r="F61" s="14">
        <f>ROUND(C61*C$5/12,2)</f>
        <v>0</v>
      </c>
      <c r="G61" s="20">
        <v>0</v>
      </c>
      <c r="H61" s="14">
        <f t="shared" si="7"/>
        <v>0</v>
      </c>
      <c r="I61" s="14">
        <f t="shared" si="17"/>
        <v>5974.5299999999988</v>
      </c>
      <c r="J61" s="14">
        <f t="shared" si="18"/>
        <v>431.2700000000001</v>
      </c>
      <c r="K61" s="14">
        <f t="shared" si="10"/>
        <v>0</v>
      </c>
      <c r="L61" s="15">
        <f t="shared" si="32"/>
        <v>8500</v>
      </c>
      <c r="M61" s="14">
        <v>0</v>
      </c>
      <c r="N61" s="17">
        <f>-R$2</f>
        <v>-62</v>
      </c>
      <c r="O61" s="15">
        <f t="shared" si="12"/>
        <v>-2976</v>
      </c>
      <c r="P61" s="26">
        <f t="shared" si="0"/>
        <v>5092.7299999999996</v>
      </c>
      <c r="R61" s="17">
        <f t="shared" si="25"/>
        <v>168.25733051489453</v>
      </c>
      <c r="S61" s="14">
        <f t="shared" si="13"/>
        <v>0.91139387362233037</v>
      </c>
      <c r="T61" s="14">
        <f t="shared" si="26"/>
        <v>169.16872438851686</v>
      </c>
      <c r="U61" s="14">
        <v>0</v>
      </c>
      <c r="V61" s="14">
        <v>0</v>
      </c>
      <c r="W61" s="15">
        <f t="shared" si="27"/>
        <v>169.16872438851686</v>
      </c>
      <c r="X61" s="19">
        <f t="shared" si="28"/>
        <v>8500</v>
      </c>
      <c r="Y61" s="28">
        <f t="shared" si="29"/>
        <v>-67.58</v>
      </c>
      <c r="Z61" s="15">
        <f t="shared" si="30"/>
        <v>-1757.0799999999995</v>
      </c>
      <c r="AA61" s="29">
        <f t="shared" si="31"/>
        <v>6912.0887243885172</v>
      </c>
      <c r="AB61" s="6"/>
      <c r="AC61" s="6"/>
      <c r="AD61" s="6"/>
      <c r="AE61" s="6"/>
      <c r="AF61" s="6"/>
      <c r="AG61" s="6"/>
      <c r="AH61" s="6"/>
      <c r="AI61" s="6"/>
      <c r="AJ61" s="6"/>
      <c r="AK61" s="6"/>
    </row>
  </sheetData>
  <mergeCells count="2">
    <mergeCell ref="A11:P11"/>
    <mergeCell ref="R11:A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2018-03-21T12:42:10Z</dcterms:created>
  <dcterms:modified xsi:type="dcterms:W3CDTF">2018-03-21T16:55:20Z</dcterms:modified>
</cp:coreProperties>
</file>